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0" yWindow="0" windowWidth="12075" windowHeight="5985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52511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M63" i="18"/>
  <c r="D32" i="18"/>
  <c r="H31" i="18" s="1"/>
  <c r="K53" i="18"/>
  <c r="E63" i="18"/>
  <c r="J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J21" i="18"/>
  <c r="M21" i="18"/>
  <c r="L21" i="18"/>
  <c r="K21" i="18"/>
  <c r="L31" i="18"/>
  <c r="K31" i="18"/>
  <c r="N31" i="18"/>
  <c r="F31" i="18"/>
  <c r="I31" i="18"/>
  <c r="H53" i="18"/>
  <c r="H63" i="18"/>
  <c r="D24" i="15"/>
  <c r="C23" i="15"/>
  <c r="M31" i="18" l="1"/>
  <c r="J31" i="18"/>
  <c r="G31" i="18"/>
  <c r="G21" i="18"/>
  <c r="H21" i="18"/>
  <c r="I21" i="18"/>
  <c r="F21" i="18"/>
  <c r="D56" i="18"/>
  <c r="J55" i="18" s="1"/>
  <c r="E31" i="18"/>
  <c r="D66" i="18"/>
  <c r="K65" i="18" s="1"/>
  <c r="M65" i="18"/>
  <c r="G55" i="18"/>
  <c r="F55" i="18"/>
  <c r="M55" i="18"/>
  <c r="E21" i="18"/>
  <c r="N55" i="18"/>
  <c r="F69" i="17"/>
  <c r="G69" i="17"/>
  <c r="H69" i="17"/>
  <c r="I69" i="17"/>
  <c r="J69" i="17"/>
  <c r="K69" i="17"/>
  <c r="L69" i="17"/>
  <c r="M69" i="17"/>
  <c r="N69" i="17"/>
  <c r="E69" i="17"/>
  <c r="I55" i="18" l="1"/>
  <c r="H55" i="18"/>
  <c r="L55" i="18"/>
  <c r="K55" i="18"/>
  <c r="L65" i="18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E65" i="18" l="1"/>
  <c r="X12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1" i="7" s="1"/>
  <c r="H21" i="4"/>
  <c r="V21" i="7" s="1"/>
  <c r="G21" i="4"/>
  <c r="U21" i="7" s="1"/>
  <c r="F21" i="4"/>
  <c r="T21" i="7" s="1"/>
  <c r="E21" i="4"/>
  <c r="S21" i="7" s="1"/>
  <c r="D21" i="4"/>
  <c r="R21" i="7" s="1"/>
  <c r="X21" i="7" s="1"/>
  <c r="M20" i="4"/>
  <c r="M19" i="4"/>
  <c r="M16" i="4"/>
  <c r="M18" i="4"/>
  <c r="M17" i="4"/>
  <c r="M15" i="4"/>
  <c r="M14" i="4"/>
  <c r="M13" i="4"/>
  <c r="M12" i="4"/>
  <c r="M11" i="4"/>
  <c r="C11" i="8" l="1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F12" i="7" l="1"/>
  <c r="H14" i="7"/>
  <c r="P26" i="7"/>
  <c r="N26" i="7"/>
  <c r="L26" i="7"/>
  <c r="J26" i="7"/>
  <c r="H26" i="7"/>
  <c r="P25" i="7"/>
  <c r="N25" i="7"/>
  <c r="L25" i="7"/>
  <c r="J25" i="7"/>
  <c r="H25" i="7"/>
  <c r="P24" i="7"/>
  <c r="N24" i="7"/>
  <c r="L24" i="7"/>
  <c r="J24" i="7"/>
  <c r="H24" i="7"/>
  <c r="P23" i="7"/>
  <c r="N23" i="7"/>
  <c r="L23" i="7"/>
  <c r="J23" i="7"/>
  <c r="H23" i="7"/>
  <c r="P22" i="7"/>
  <c r="N22" i="7"/>
  <c r="L22" i="7"/>
  <c r="J22" i="7"/>
  <c r="H22" i="7"/>
  <c r="P21" i="7"/>
  <c r="N21" i="7"/>
  <c r="L21" i="7"/>
  <c r="J21" i="7"/>
  <c r="H21" i="7"/>
  <c r="P20" i="7"/>
  <c r="N20" i="7"/>
  <c r="L20" i="7"/>
  <c r="J20" i="7"/>
  <c r="H20" i="7"/>
  <c r="P19" i="7"/>
  <c r="N19" i="7"/>
  <c r="L19" i="7"/>
  <c r="J19" i="7"/>
  <c r="H19" i="7"/>
  <c r="P18" i="7"/>
  <c r="N18" i="7"/>
  <c r="L18" i="7"/>
  <c r="J18" i="7"/>
  <c r="H18" i="7"/>
  <c r="P17" i="7"/>
  <c r="N17" i="7"/>
  <c r="L17" i="7"/>
  <c r="J17" i="7"/>
  <c r="H17" i="7"/>
  <c r="P16" i="7"/>
  <c r="N16" i="7"/>
  <c r="L16" i="7"/>
  <c r="J16" i="7"/>
  <c r="H16" i="7"/>
  <c r="P15" i="7"/>
  <c r="N15" i="7"/>
  <c r="L15" i="7"/>
  <c r="J15" i="7"/>
  <c r="H15" i="7"/>
  <c r="P14" i="7"/>
  <c r="N14" i="7"/>
  <c r="L14" i="7"/>
  <c r="J14" i="7"/>
  <c r="P13" i="7"/>
  <c r="N13" i="7"/>
  <c r="L13" i="7"/>
  <c r="J13" i="7"/>
  <c r="H13" i="7"/>
  <c r="P12" i="7"/>
  <c r="N12" i="7"/>
  <c r="L12" i="7"/>
  <c r="J12" i="7"/>
  <c r="H12" i="7"/>
  <c r="O26" i="7"/>
  <c r="M26" i="7"/>
  <c r="K26" i="7"/>
  <c r="I26" i="7"/>
  <c r="F26" i="7"/>
  <c r="O25" i="7"/>
  <c r="M25" i="7"/>
  <c r="K25" i="7"/>
  <c r="I25" i="7"/>
  <c r="F25" i="7"/>
  <c r="M24" i="7"/>
  <c r="I24" i="7"/>
  <c r="O23" i="7"/>
  <c r="K23" i="7"/>
  <c r="F23" i="7"/>
  <c r="M22" i="7"/>
  <c r="I22" i="7"/>
  <c r="O21" i="7"/>
  <c r="K21" i="7"/>
  <c r="F21" i="7"/>
  <c r="M20" i="7"/>
  <c r="I20" i="7"/>
  <c r="O19" i="7"/>
  <c r="K19" i="7"/>
  <c r="F19" i="7"/>
  <c r="M18" i="7"/>
  <c r="I18" i="7"/>
  <c r="O17" i="7"/>
  <c r="K17" i="7"/>
  <c r="F17" i="7"/>
  <c r="M16" i="7"/>
  <c r="I16" i="7"/>
  <c r="O15" i="7"/>
  <c r="K15" i="7"/>
  <c r="F15" i="7"/>
  <c r="M14" i="7"/>
  <c r="I14" i="7"/>
  <c r="O13" i="7"/>
  <c r="K13" i="7"/>
  <c r="F13" i="7"/>
  <c r="M12" i="7"/>
  <c r="I12" i="7"/>
  <c r="O24" i="7"/>
  <c r="K24" i="7"/>
  <c r="F24" i="7"/>
  <c r="M23" i="7"/>
  <c r="I23" i="7"/>
  <c r="O22" i="7"/>
  <c r="K22" i="7"/>
  <c r="F22" i="7"/>
  <c r="M21" i="7"/>
  <c r="I21" i="7"/>
  <c r="O20" i="7"/>
  <c r="K20" i="7"/>
  <c r="F20" i="7"/>
  <c r="M19" i="7"/>
  <c r="I19" i="7"/>
  <c r="O18" i="7"/>
  <c r="K18" i="7"/>
  <c r="F18" i="7"/>
  <c r="M17" i="7"/>
  <c r="I17" i="7"/>
  <c r="O16" i="7"/>
  <c r="K16" i="7"/>
  <c r="F16" i="7"/>
  <c r="M15" i="7"/>
  <c r="I15" i="7"/>
  <c r="O14" i="7"/>
  <c r="K14" i="7"/>
  <c r="F14" i="7"/>
  <c r="M13" i="7"/>
  <c r="I13" i="7"/>
  <c r="O12" i="7"/>
  <c r="K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<sst xmlns="http://schemas.openxmlformats.org/spreadsheetml/2006/main" count="1376" uniqueCount="681">
  <si>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</si>
  <si>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</si>
  <si>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</si>
  <si>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</si>
  <si>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</si>
  <si>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</si>
  <si>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</si>
  <si>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</si>
  <si>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</si>
  <si>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</si>
  <si>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</si>
  <si>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</si>
  <si>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</si>
  <si>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</si>
  <si>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</si>
  <si>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</si>
  <si>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</si>
  <si>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</si>
  <si>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</si>
  <si>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</si>
  <si>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</si>
  <si>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</si>
  <si>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</si>
  <si>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</si>
  <si>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</si>
  <si>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</si>
  <si>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</si>
  <si>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</si>
  <si>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</si>
  <si>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</si>
  <si>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</si>
  <si>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</si>
  <si>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</si>
  <si>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</si>
  <si>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</si>
  <si>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</si>
  <si>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</si>
  <si>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</si>
  <si>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</si>
  <si>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</si>
  <si>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</si>
  <si>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</si>
  <si>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</si>
  <si>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</si>
  <si>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</si>
  <si>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</si>
  <si>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</si>
  <si>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</si>
  <si>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</si>
  <si>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</si>
  <si>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</si>
  <si>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</si>
  <si>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</si>
  <si>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</si>
  <si>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</si>
  <si>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</si>
  <si>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</si>
  <si>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</si>
  <si>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</si>
  <si>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</si>
  <si>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</si>
  <si>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</si>
  <si>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</si>
  <si>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</si>
  <si>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</si>
  <si>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</si>
  <si>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</si>
  <si>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</si>
  <si>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</si>
  <si>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</si>
  <si>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</si>
  <si>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</si>
  <si>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</si>
  <si>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</si>
  <si>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</si>
  <si>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</si>
  <si>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</si>
  <si>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</si>
  <si>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</si>
  <si>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</si>
  <si>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</si>
  <si>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</si>
  <si>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</si>
  <si>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</si>
  <si>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</si>
  <si>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</si>
  <si>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</si>
  <si>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</si>
  <si>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</si>
  <si>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</si>
  <si>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</si>
  <si>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</si>
  <si>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</si>
  <si>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</si>
  <si>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</si>
  <si>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</si>
  <si>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</si>
  <si>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</si>
  <si>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</si>
  <si>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</si>
  <si>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</si>
  <si>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</si>
  <si>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</si>
  <si>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</si>
  <si>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</si>
  <si>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</si>
  <si>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</si>
  <si>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</si>
  <si>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</si>
  <si>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</si>
  <si>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</si>
  <si>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</si>
  <si>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</si>
  <si>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</si>
  <si>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</si>
  <si>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</si>
  <si>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</si>
  <si>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</si>
  <si>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</si>
  <si>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</si>
  <si>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</si>
  <si>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</si>
  <si>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</si>
  <si>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</si>
  <si>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</si>
  <si>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</si>
  <si>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</si>
  <si>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</si>
  <si>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</si>
  <si>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</si>
  <si>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</si>
  <si>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</si>
  <si>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</si>
  <si>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</si>
  <si>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</si>
  <si>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</si>
  <si>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</si>
  <si>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</si>
  <si>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</si>
  <si>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</si>
  <si>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</si>
  <si>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</si>
  <si>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</si>
  <si>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</si>
  <si>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</si>
  <si>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</si>
  <si>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</si>
  <si>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</si>
  <si>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</si>
  <si>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</si>
  <si>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</si>
  <si>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</si>
  <si>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</si>
  <si>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</si>
  <si>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</si>
  <si>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</si>
  <si>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</si>
  <si>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</si>
  <si>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</si>
  <si>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</si>
  <si>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</si>
  <si>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</si>
  <si>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</si>
  <si>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</si>
  <si>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</si>
  <si>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</si>
  <si>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</si>
  <si>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</si>
  <si>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</si>
  <si>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</si>
  <si>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</si>
  <si>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</si>
  <si>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</si>
  <si>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</si>
  <si>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</si>
  <si>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</si>
  <si>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</si>
  <si>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</si>
  <si>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</si>
  <si>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</si>
  <si>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</si>
  <si>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</si>
  <si>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</si>
  <si>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</si>
  <si>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</si>
  <si>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</si>
  <si>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</si>
  <si>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</si>
  <si>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</si>
  <si>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</si>
  <si>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</si>
  <si>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</si>
  <si>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</si>
  <si>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</si>
  <si>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</si>
  <si>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</si>
  <si>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</si>
  <si>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</si>
  <si>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</si>
  <si>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</si>
  <si>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</si>
  <si>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</si>
  <si>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</si>
  <si>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</si>
  <si>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</si>
  <si>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</si>
  <si>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</si>
  <si>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</si>
  <si>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</si>
  <si>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</si>
  <si>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</si>
  <si>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</si>
  <si>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</si>
  <si>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</si>
  <si>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</si>
  <si>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</si>
  <si>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</si>
  <si>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</si>
  <si>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</si>
  <si>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</si>
  <si>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</si>
  <si>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</si>
  <si>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</si>
  <si>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</si>
  <si>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</si>
  <si>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</si>
  <si>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</si>
  <si>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</si>
  <si>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</si>
  <si>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</si>
  <si>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</si>
  <si>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</si>
  <si>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</si>
  <si>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</si>
  <si>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</si>
  <si>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</si>
  <si>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</si>
  <si>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</si>
  <si>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</si>
  <si>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</si>
  <si>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</si>
  <si>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</si>
  <si>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</si>
  <si>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</si>
  <si>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</si>
  <si>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</si>
  <si>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</si>
  <si>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</si>
  <si>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</si>
  <si>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</si>
  <si>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</si>
  <si>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</si>
  <si>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</si>
  <si>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</si>
  <si>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</si>
  <si>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</si>
  <si>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</si>
  <si>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</si>
  <si>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</si>
  <si>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</si>
  <si>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</si>
  <si>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</si>
  <si>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</si>
  <si>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</si>
  <si>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</si>
  <si>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</si>
  <si>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</si>
  <si>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</si>
  <si>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</si>
  <si>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</si>
  <si>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</si>
  <si>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</si>
  <si>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</si>
  <si>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</si>
  <si>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</si>
  <si>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</si>
  <si>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</si>
  <si>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</si>
  <si>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</si>
  <si>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</si>
  <si>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</si>
  <si>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</si>
  <si>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</si>
  <si>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</si>
  <si>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</si>
  <si>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</si>
  <si>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</si>
  <si>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</si>
  <si>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</si>
  <si>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</si>
  <si>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</si>
  <si>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</si>
  <si>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</si>
  <si>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</si>
  <si>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</si>
  <si>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</si>
  <si>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</si>
  <si>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</si>
  <si>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</si>
  <si>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</si>
  <si>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</si>
  <si>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</si>
  <si>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</si>
  <si>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</si>
  <si>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</si>
  <si>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</si>
  <si>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</si>
  <si>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</si>
  <si>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</si>
  <si>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</si>
  <si>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</si>
  <si>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</si>
  <si>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</si>
  <si>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</si>
  <si>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</si>
  <si>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</si>
  <si>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</si>
  <si>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</si>
  <si>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</si>
  <si>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</si>
  <si>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</si>
  <si>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</si>
  <si>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</si>
  <si>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</si>
  <si>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</si>
  <si>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</si>
  <si>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</si>
  <si>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</si>
  <si>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</si>
  <si>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</si>
  <si>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</si>
  <si>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</si>
  <si>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</si>
  <si>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</si>
  <si>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</si>
  <si>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</si>
  <si>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</si>
  <si>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</si>
  <si>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</si>
  <si>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</si>
  <si>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</si>
  <si>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</si>
  <si>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</si>
  <si>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</si>
  <si>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</si>
  <si>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</si>
  <si>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</si>
  <si>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</si>
  <si>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</si>
  <si>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</si>
  <si>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</si>
  <si>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</si>
  <si>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</si>
  <si>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</si>
  <si>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</si>
  <si>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</si>
  <si>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</si>
  <si>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</si>
  <si>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</si>
  <si>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</si>
  <si>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</si>
  <si>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</si>
  <si>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</si>
  <si>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</si>
  <si>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</si>
  <si>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</si>
  <si>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</si>
  <si>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</si>
  <si>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</si>
  <si>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</si>
  <si>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</si>
  <si>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</si>
  <si>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</si>
  <si>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</si>
  <si>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</si>
  <si>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</si>
  <si>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</si>
  <si>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</si>
  <si>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</si>
  <si>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</si>
  <si>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</si>
  <si>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</si>
  <si>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</si>
  <si>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</si>
  <si>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</si>
  <si>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</si>
  <si>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</si>
  <si>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</si>
  <si>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</si>
  <si>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</si>
  <si>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</si>
  <si>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</si>
  <si>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</si>
  <si>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</si>
  <si>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</si>
  <si>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</si>
  <si>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</si>
  <si>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</si>
  <si>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</si>
  <si>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</si>
  <si>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</si>
  <si>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</si>
  <si>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</si>
  <si>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</si>
  <si>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</si>
  <si>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</si>
  <si>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</si>
  <si>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</si>
  <si>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</si>
  <si>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</si>
  <si>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</si>
  <si>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</si>
  <si>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</si>
  <si>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</si>
  <si>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</si>
  <si>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</si>
  <si>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</si>
  <si>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</si>
  <si>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</si>
  <si>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</si>
  <si>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</si>
  <si>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</si>
  <si>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</si>
  <si>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</si>
  <si>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</si>
  <si>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</si>
  <si>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</si>
  <si>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</si>
  <si>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</si>
  <si>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</si>
  <si>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</si>
  <si>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</si>
  <si>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</si>
  <si>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</si>
  <si>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</si>
  <si>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</si>
  <si>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</si>
  <si>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</si>
  <si>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</si>
  <si>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</si>
  <si>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</si>
  <si>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</si>
  <si>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</si>
  <si>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</si>
  <si>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</si>
  <si>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</si>
  <si>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</si>
  <si>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</si>
  <si>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</si>
  <si>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</si>
  <si>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</si>
  <si>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</si>
  <si>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</si>
  <si>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</si>
  <si>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</si>
  <si>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</si>
  <si>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</si>
  <si>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</si>
  <si>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</si>
  <si>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</si>
  <si>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</si>
  <si>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</si>
  <si>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</si>
  <si>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</si>
  <si>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</si>
  <si>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</si>
  <si>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</si>
  <si>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</si>
  <si>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</si>
  <si>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</si>
  <si>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</si>
  <si>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</si>
  <si>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</si>
  <si>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</si>
  <si>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</si>
  <si>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</si>
  <si>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</si>
  <si>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</si>
  <si>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</si>
  <si>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</si>
  <si>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</si>
  <si>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</si>
  <si>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</si>
  <si>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</si>
  <si>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</si>
  <si>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</si>
  <si>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</si>
  <si>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</si>
  <si>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</si>
  <si>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</si>
  <si>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</si>
  <si>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</si>
  <si>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</si>
  <si>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</si>
  <si>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</si>
  <si>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</si>
  <si>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</si>
  <si>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</si>
  <si>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</si>
  <si>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</si>
  <si>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</si>
  <si>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</si>
  <si>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</si>
  <si>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</si>
  <si>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</si>
  <si>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</si>
  <si>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</si>
  <si>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</si>
  <si>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</si>
  <si>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</si>
  <si>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</si>
  <si>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</si>
  <si>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</si>
  <si>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</si>
  <si>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</si>
  <si>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</si>
  <si>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</si>
  <si>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</si>
  <si>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</si>
  <si>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</si>
  <si>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</si>
  <si>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</si>
  <si>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</si>
  <si>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</si>
  <si>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</si>
  <si>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</si>
  <si>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</si>
  <si>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</si>
  <si>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</si>
  <si>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</si>
  <si>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</si>
  <si>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</si>
  <si>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</si>
  <si>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</si>
  <si>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</si>
  <si>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</si>
  <si>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</si>
  <si>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</si>
  <si>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</si>
  <si>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</si>
  <si>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</si>
  <si>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</si>
  <si>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</si>
  <si>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</si>
  <si>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</si>
  <si>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</si>
  <si>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</si>
  <si>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</si>
  <si>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</si>
  <si>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</si>
  <si>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</si>
  <si>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</si>
  <si>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</si>
  <si>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</si>
  <si>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</si>
  <si>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</si>
  <si>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</si>
  <si>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</si>
  <si>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</si>
  <si>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</si>
  <si>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</si>
  <si>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</si>
  <si>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</si>
  <si>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</si>
  <si>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</si>
  <si>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</si>
  <si>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</si>
  <si>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</si>
  <si>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</si>
  <si>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</si>
  <si>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</si>
  <si>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</si>
  <si>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</si>
  <si>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</si>
  <si>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</si>
  <si>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</si>
  <si>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</si>
  <si>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</si>
  <si>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</si>
  <si>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</si>
  <si>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</si>
  <si>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</si>
  <si>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</si>
  <si>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</si>
  <si>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</si>
  <si>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</si>
  <si>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</si>
  <si>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</si>
  <si>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</si>
  <si>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</si>
  <si>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</si>
  <si>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</si>
  <si>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</si>
  <si>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</si>
  <si>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</si>
  <si>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</si>
  <si>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</si>
  <si>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</si>
  <si>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</si>
  <si>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</si>
  <si>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</si>
  <si>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</si>
  <si>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</si>
  <si>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</si>
  <si>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</si>
  <si>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</si>
  <si>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</si>
  <si>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</si>
  <si>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</si>
  <si>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</si>
  <si>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</si>
  <si>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</si>
  <si>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</si>
  <si>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</si>
  <si>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</si>
  <si>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</si>
  <si>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</si>
  <si>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</si>
  <si>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</si>
  <si>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</si>
  <si>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</si>
  <si>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</si>
  <si>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</si>
  <si>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</si>
  <si>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</si>
  <si>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</si>
  <si>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</si>
  <si>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</si>
  <si>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</si>
  <si>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</si>
  <si>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</si>
  <si>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</si>
  <si>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</si>
  <si>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</si>
  <si>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</si>
  <si>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</si>
  <si>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</si>
  <si>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</si>
  <si>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</si>
  <si>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</si>
  <si>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</si>
  <si>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</si>
  <si>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</si>
  <si>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</si>
  <si>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</si>
  <si>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</si>
  <si>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</si>
  <si>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</si>
  <si>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</si>
  <si>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</si>
  <si>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</si>
  <si>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</si>
  <si>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</si>
  <si>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</si>
  <si>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</si>
  <si>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</si>
  <si>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</si>
  <si>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Stadtwerke Oranienburg GmbH</t>
  </si>
  <si>
    <t>9870034800002</t>
  </si>
  <si>
    <t>Klagenfurter Str. 41</t>
  </si>
  <si>
    <t>Oranienburg</t>
  </si>
  <si>
    <t>Fred Neidick</t>
  </si>
  <si>
    <t>metering@sw-or.de</t>
  </si>
  <si>
    <t>03301/608160</t>
  </si>
  <si>
    <t>GASPOOLNH7003481</t>
  </si>
  <si>
    <t>Stadt Oranienburg</t>
  </si>
  <si>
    <t>Meteogroup Lehnitz 103740</t>
  </si>
  <si>
    <t>Meteogroup</t>
  </si>
  <si>
    <t>Lehnitz</t>
  </si>
  <si>
    <t>DE_GBA04</t>
  </si>
  <si>
    <t>DE_GBD04</t>
  </si>
  <si>
    <t>DE_GBH04</t>
  </si>
  <si>
    <t>DE_GGA04</t>
  </si>
  <si>
    <t>DE_GGB04</t>
  </si>
  <si>
    <t>DE_GHA04</t>
  </si>
  <si>
    <t>DE_GHD04</t>
  </si>
  <si>
    <t>DE_GKO04</t>
  </si>
  <si>
    <t>DE_GMK04</t>
  </si>
  <si>
    <t>DE_GPD04</t>
  </si>
  <si>
    <t>DE_GWA04</t>
  </si>
  <si>
    <t>DE_GMF04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</si>
</sst>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H31" sqref="H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464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t="s">
        <v>653</v>
      </c>
    </row>
    <row r="8" spans="2:7" s="8" customFormat="1">
      <c r="B8" s="8" t="s">
        <v>656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654</v>
      </c>
    </row>
    <row r="12" spans="2:7" s="8" customFormat="1">
      <c r="B12" s="8" t="s">
        <v>497</v>
      </c>
    </row>
    <row r="13" spans="2:7" s="8" customFormat="1">
      <c r="B13" s="8" t="s">
        <v>655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345</v>
      </c>
      <c r="C17" s="15"/>
    </row>
    <row r="18" spans="2:12" s="8" customFormat="1">
      <c r="B18" s="18" t="s">
        <v>339</v>
      </c>
      <c r="C18" s="15"/>
    </row>
    <row r="19" spans="2:12" s="8" customFormat="1">
      <c r="B19" s="18" t="s">
        <v>340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341</v>
      </c>
      <c r="C22" s="15"/>
    </row>
    <row r="23" spans="2:12" s="8" customFormat="1">
      <c r="B23" s="18" t="s">
        <v>342</v>
      </c>
      <c r="C23" s="15"/>
    </row>
    <row r="24" spans="2:12">
      <c r="B24" s="17"/>
      <c r="C24" s="15"/>
    </row>
    <row r="25" spans="2:12">
      <c r="B25" s="17" t="s">
        <v>346</v>
      </c>
      <c r="C25" s="15"/>
    </row>
    <row r="26" spans="2:12">
      <c r="B26" s="18" t="s">
        <v>343</v>
      </c>
      <c r="C26" s="15"/>
      <c r="F26" s="8"/>
      <c r="G26" s="8"/>
      <c r="H26" s="8"/>
    </row>
    <row r="27" spans="2:12">
      <c r="B27" s="18" t="s">
        <v>344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347</v>
      </c>
      <c r="C29" s="19">
        <v>42248</v>
      </c>
      <c r="E29" s="8"/>
      <c r="F29" s="8"/>
      <c r="G29" s="8"/>
      <c r="H29" s="8"/>
    </row>
    <row r="30" spans="2:12">
      <c r="B30" s="21" t="s">
        <v>348</v>
      </c>
      <c r="C30" s="327" t="s">
        <v>646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7" zoomScale="80" zoomScaleNormal="80" workbookViewId="0">
      <selection activeCell="C37" sqref="C37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650</v>
      </c>
      <c r="D4" s="27">
        <v>42402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649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484</v>
      </c>
      <c r="D11" s="341" t="s">
        <v>658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659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16515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660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661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662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663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459</v>
      </c>
      <c r="D27" s="42" t="s">
        <v>396</v>
      </c>
      <c r="E27" s="39"/>
      <c r="F27" s="11"/>
    </row>
    <row r="28" spans="1:15">
      <c r="B28" s="15"/>
      <c r="C28" s="65" t="s">
        <v>499</v>
      </c>
      <c r="D28" s="48" t="str">
        <f>IF(D27&lt;&gt;C28,VLOOKUP(D27,$C$29:$D$48,2,FALSE),C28)</f>
        <v>Stadt Oranienburg</v>
      </c>
      <c r="E28" s="38"/>
      <c r="F28" s="11"/>
      <c r="G28" s="2"/>
    </row>
    <row r="29" spans="1:15">
      <c r="B29" s="15"/>
      <c r="C29" s="22" t="s">
        <v>396</v>
      </c>
      <c r="D29" s="45" t="s">
        <v>665</v>
      </c>
      <c r="E29" s="40"/>
      <c r="F29" s="11"/>
      <c r="G29" s="2"/>
    </row>
    <row r="30" spans="1:15">
      <c r="B30" s="15"/>
      <c r="C30" s="22" t="s">
        <v>397</v>
      </c>
      <c r="D30" s="45"/>
      <c r="E30" s="40"/>
      <c r="F30" s="47"/>
      <c r="G30" s="2"/>
    </row>
    <row r="31" spans="1:15">
      <c r="B31" s="15"/>
      <c r="C31" s="22" t="s">
        <v>420</v>
      </c>
      <c r="D31" s="46"/>
      <c r="E31" s="40"/>
      <c r="F31" s="47"/>
      <c r="G31" s="2"/>
    </row>
    <row r="32" spans="1:15">
      <c r="B32" s="15"/>
      <c r="C32" s="22" t="s">
        <v>421</v>
      </c>
      <c r="D32" s="46"/>
      <c r="E32" s="40"/>
      <c r="F32" s="47"/>
      <c r="G32" s="2"/>
    </row>
    <row r="33" spans="2:7">
      <c r="B33" s="15"/>
      <c r="C33" s="22" t="s">
        <v>422</v>
      </c>
      <c r="D33" s="45"/>
      <c r="E33" s="40"/>
      <c r="F33" s="47"/>
      <c r="G33" s="2"/>
    </row>
    <row r="34" spans="2:7">
      <c r="B34" s="15"/>
      <c r="C34" s="22" t="s">
        <v>423</v>
      </c>
      <c r="D34" s="46"/>
      <c r="E34" s="40"/>
      <c r="F34" s="47"/>
      <c r="G34" s="2"/>
    </row>
    <row r="35" spans="2:7">
      <c r="B35" s="15"/>
      <c r="C35" s="22" t="s">
        <v>424</v>
      </c>
      <c r="D35" s="46"/>
      <c r="E35" s="40"/>
      <c r="F35" s="47"/>
      <c r="G35" s="2"/>
    </row>
    <row r="36" spans="2:7">
      <c r="B36" s="15"/>
      <c r="C36" s="22" t="s">
        <v>425</v>
      </c>
      <c r="D36" s="46"/>
      <c r="E36" s="40"/>
      <c r="F36" s="47"/>
      <c r="G36" s="2"/>
    </row>
    <row r="37" spans="2:7">
      <c r="B37" s="15"/>
      <c r="C37" s="22" t="s">
        <v>426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40" zoomScale="80" zoomScaleNormal="80" workbookViewId="0">
      <selection activeCell="D49" sqref="D49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445</v>
      </c>
      <c r="D5" s="58" t="str">
        <f>Netzbetreiber!$D$9</f>
        <v>Stadtwerke Oranienburg GmbH</v>
      </c>
      <c r="H5" s="67"/>
      <c r="I5" s="67"/>
      <c r="J5" s="67"/>
      <c r="K5" s="67"/>
    </row>
    <row r="6" spans="2:15" ht="15" customHeight="1">
      <c r="B6" s="22"/>
      <c r="C6" s="61" t="s">
        <v>444</v>
      </c>
      <c r="D6" s="58" t="str">
        <f>Netzbetreiber!D28</f>
        <v>Stadt Oranienburg</v>
      </c>
      <c r="E6" s="15"/>
      <c r="H6" s="67"/>
      <c r="I6" s="67"/>
      <c r="J6" s="67"/>
      <c r="K6" s="67"/>
    </row>
    <row r="7" spans="2:15" ht="15" customHeight="1">
      <c r="B7" s="22"/>
      <c r="C7" s="60" t="s">
        <v>486</v>
      </c>
      <c r="D7" s="328" t="str">
        <f>Netzbetreiber!$D$11</f>
        <v>9870034800002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611</v>
      </c>
      <c r="D13" s="33" t="s">
        <v>612</v>
      </c>
      <c r="E13" s="15"/>
      <c r="H13" s="271" t="s">
        <v>612</v>
      </c>
      <c r="I13" s="271" t="s">
        <v>613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430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429</v>
      </c>
      <c r="D16" s="41" t="s">
        <v>664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369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571</v>
      </c>
      <c r="I19" s="270" t="s">
        <v>487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609</v>
      </c>
      <c r="D22" s="49" t="s">
        <v>605</v>
      </c>
      <c r="E22" s="15"/>
      <c r="H22" s="267" t="s">
        <v>605</v>
      </c>
      <c r="I22" s="267" t="s">
        <v>606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607</v>
      </c>
      <c r="E23" s="15"/>
      <c r="H23" s="267" t="s">
        <v>608</v>
      </c>
      <c r="I23" s="8" t="s">
        <v>604</v>
      </c>
      <c r="J23" s="8"/>
      <c r="K23" s="8"/>
      <c r="L23" s="268"/>
    </row>
    <row r="24" spans="2:16" ht="15" customHeight="1">
      <c r="B24" s="22"/>
      <c r="C24" s="24" t="s">
        <v>610</v>
      </c>
      <c r="D24" s="24" t="str">
        <f>IF(D22=$H$22,L24,IF(D23=$H$24,M24,N24))</f>
        <v>=&gt;  Q(D) = KW  x  h(T, SLP-Typ)  x  F(WT)</v>
      </c>
      <c r="E24" s="15"/>
      <c r="H24" s="267" t="s">
        <v>607</v>
      </c>
      <c r="I24" s="267" t="s">
        <v>614</v>
      </c>
      <c r="J24" s="8"/>
      <c r="K24" s="8"/>
      <c r="L24" s="270" t="s">
        <v>615</v>
      </c>
      <c r="M24" s="270" t="s">
        <v>617</v>
      </c>
      <c r="N24" s="270" t="s">
        <v>616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371</v>
      </c>
      <c r="C26" s="6" t="s">
        <v>574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618</v>
      </c>
      <c r="D27" s="42" t="s">
        <v>619</v>
      </c>
      <c r="E27" s="15"/>
      <c r="H27" s="297" t="s">
        <v>619</v>
      </c>
      <c r="I27" s="269" t="s">
        <v>620</v>
      </c>
      <c r="J27" s="269" t="s">
        <v>621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622</v>
      </c>
      <c r="I28" s="270" t="s">
        <v>623</v>
      </c>
      <c r="J28" s="270" t="s">
        <v>624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625</v>
      </c>
      <c r="I29" s="270" t="s">
        <v>626</v>
      </c>
      <c r="J29" s="270" t="s">
        <v>627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492</v>
      </c>
      <c r="C31" s="6" t="s">
        <v>573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628</v>
      </c>
      <c r="I32" s="270" t="s">
        <v>629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630</v>
      </c>
      <c r="I33" s="267" t="s">
        <v>625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545</v>
      </c>
      <c r="C35" s="24" t="s">
        <v>494</v>
      </c>
      <c r="D35" s="42">
        <v>15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546</v>
      </c>
      <c r="C37" s="5" t="s">
        <v>366</v>
      </c>
      <c r="D37" s="34">
        <v>1500000</v>
      </c>
      <c r="E37" s="15" t="s">
        <v>503</v>
      </c>
      <c r="I37" s="267"/>
      <c r="J37" s="267"/>
      <c r="K37" s="267"/>
      <c r="L37" s="267"/>
      <c r="M37" s="268"/>
    </row>
    <row r="38" spans="2:39" customFormat="1" ht="1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547</v>
      </c>
      <c r="C40" s="5" t="s">
        <v>367</v>
      </c>
      <c r="D40" s="36">
        <v>500</v>
      </c>
      <c r="E40" s="15" t="s">
        <v>537</v>
      </c>
      <c r="H40" s="67"/>
      <c r="I40" s="67"/>
      <c r="J40" s="67"/>
      <c r="K40" s="67"/>
    </row>
    <row r="41" spans="2:39" ht="15" customHeight="1">
      <c r="C41" s="8" t="s">
        <v>491</v>
      </c>
    </row>
    <row r="42" spans="2:39" ht="15" customHeight="1">
      <c r="B42" s="7"/>
      <c r="C42" s="3"/>
    </row>
    <row r="43" spans="2:39" ht="15" customHeight="1">
      <c r="B43" s="7"/>
      <c r="C43" s="3" t="s">
        <v>536</v>
      </c>
    </row>
    <row r="44" spans="2:39" ht="18" customHeight="1">
      <c r="C44" s="3" t="s">
        <v>538</v>
      </c>
    </row>
    <row r="45" spans="2:39" ht="18" customHeight="1">
      <c r="C45" s="3"/>
    </row>
    <row r="46" spans="2:39" ht="15" customHeight="1">
      <c r="B46" s="22" t="s">
        <v>548</v>
      </c>
      <c r="C46" s="60" t="s">
        <v>572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582</v>
      </c>
      <c r="D48" s="45" t="s">
        <v>666</v>
      </c>
    </row>
    <row r="49" spans="3:4" ht="18" customHeight="1">
      <c r="C49" s="22" t="s">
        <v>583</v>
      </c>
      <c r="D49" s="45"/>
    </row>
    <row r="50" spans="3:4" ht="18" customHeight="1">
      <c r="C50" s="22" t="s">
        <v>584</v>
      </c>
      <c r="D50" s="45"/>
    </row>
    <row r="51" spans="3:4" ht="18" customHeight="1">
      <c r="C51" s="22" t="s">
        <v>585</v>
      </c>
      <c r="D51" s="45"/>
    </row>
    <row r="52" spans="3:4" ht="18" customHeight="1">
      <c r="C52" s="22" t="s">
        <v>586</v>
      </c>
      <c r="D52" s="45"/>
    </row>
    <row r="53" spans="3:4" ht="18" customHeight="1">
      <c r="C53" s="22" t="s">
        <v>587</v>
      </c>
      <c r="D53" s="45"/>
    </row>
    <row r="54" spans="3:4" ht="18" customHeight="1">
      <c r="C54" s="22" t="s">
        <v>588</v>
      </c>
      <c r="D54" s="45"/>
    </row>
    <row r="55" spans="3:4" ht="18" customHeight="1">
      <c r="C55" s="22" t="s">
        <v>589</v>
      </c>
      <c r="D55" s="45"/>
    </row>
    <row r="56" spans="3:4" ht="18" customHeight="1">
      <c r="C56" s="22" t="s">
        <v>590</v>
      </c>
      <c r="D56" s="45"/>
    </row>
    <row r="57" spans="3:4" ht="18" customHeight="1">
      <c r="C57" s="22" t="s">
        <v>591</v>
      </c>
      <c r="D57" s="45"/>
    </row>
    <row r="58" spans="3:4" ht="18" customHeight="1">
      <c r="C58" s="22" t="s">
        <v>592</v>
      </c>
      <c r="D58" s="45"/>
    </row>
    <row r="59" spans="3:4" ht="18" customHeight="1">
      <c r="C59" s="22" t="s">
        <v>593</v>
      </c>
      <c r="D59" s="45"/>
    </row>
    <row r="60" spans="3:4" ht="18" customHeight="1">
      <c r="C60" s="22" t="s">
        <v>594</v>
      </c>
      <c r="D60" s="45"/>
    </row>
    <row r="61" spans="3:4" ht="18" customHeight="1">
      <c r="C61" s="22" t="s">
        <v>595</v>
      </c>
      <c r="D61" s="45"/>
    </row>
    <row r="62" spans="3:4" ht="18" customHeight="1">
      <c r="C62" s="22" t="s">
        <v>596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G44" sqref="G44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540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Netzbetreiber!D9</f>
        <v>Stadtwerke Oranienburg GmbH</v>
      </c>
      <c r="F4" s="330"/>
      <c r="G4" s="330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Netzbetreiber!D28</f>
        <v>Stadt Oranienburg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9870034800002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519</v>
      </c>
      <c r="D9" s="129"/>
      <c r="E9" s="129"/>
      <c r="F9" s="153">
        <f>'SLP-Verfahren'!D46</f>
        <v>1</v>
      </c>
      <c r="H9" s="171" t="s">
        <v>597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581</v>
      </c>
      <c r="D10" s="129"/>
      <c r="E10" s="129"/>
      <c r="F10" s="49">
        <v>1</v>
      </c>
      <c r="G10" s="57"/>
      <c r="H10" s="171" t="s">
        <v>598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599</v>
      </c>
      <c r="D11" s="129"/>
      <c r="E11" s="129"/>
      <c r="F11" s="332" t="str">
        <f>INDEX('SLP-Verfahren'!D48:D62,'SLP-Temp-Gebiet #01'!F10)</f>
        <v>Meteogroup Lehnitz 103740</v>
      </c>
      <c r="G11" s="332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3" t="s">
        <v>580</v>
      </c>
      <c r="D13" s="343"/>
      <c r="E13" s="343"/>
      <c r="F13" s="181" t="s">
        <v>544</v>
      </c>
      <c r="G13" s="129" t="s">
        <v>542</v>
      </c>
      <c r="H13" s="261" t="s">
        <v>559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4" t="s">
        <v>448</v>
      </c>
      <c r="D14" s="344"/>
      <c r="E14" s="89" t="s">
        <v>449</v>
      </c>
      <c r="F14" s="262" t="s">
        <v>85</v>
      </c>
      <c r="G14" s="263" t="s">
        <v>568</v>
      </c>
      <c r="H14" s="51">
        <v>0</v>
      </c>
      <c r="I14" s="57"/>
      <c r="J14" s="129"/>
      <c r="K14" s="129"/>
      <c r="L14" s="129"/>
      <c r="M14" s="129"/>
      <c r="N14" s="129"/>
      <c r="O14" s="331" t="s">
        <v>647</v>
      </c>
      <c r="R14" s="207" t="s">
        <v>560</v>
      </c>
      <c r="S14" s="207" t="s">
        <v>561</v>
      </c>
      <c r="T14" s="207" t="s">
        <v>562</v>
      </c>
      <c r="U14" s="207" t="s">
        <v>563</v>
      </c>
      <c r="V14" s="207" t="s">
        <v>543</v>
      </c>
      <c r="W14" s="207" t="s">
        <v>564</v>
      </c>
      <c r="X14" s="207" t="s">
        <v>565</v>
      </c>
      <c r="Y14" s="207" t="s">
        <v>566</v>
      </c>
      <c r="Z14" s="207" t="s">
        <v>567</v>
      </c>
      <c r="AA14" s="207" t="s">
        <v>568</v>
      </c>
      <c r="AB14" s="207" t="s">
        <v>569</v>
      </c>
      <c r="AC14" s="207" t="s">
        <v>570</v>
      </c>
    </row>
    <row r="15" spans="2:56" ht="19.5" customHeight="1">
      <c r="B15" s="129"/>
      <c r="C15" s="344" t="s">
        <v>388</v>
      </c>
      <c r="D15" s="344"/>
      <c r="E15" s="89" t="s">
        <v>449</v>
      </c>
      <c r="F15" s="262" t="s">
        <v>71</v>
      </c>
      <c r="G15" s="263" t="s">
        <v>562</v>
      </c>
      <c r="H15" s="51">
        <v>0</v>
      </c>
      <c r="I15" s="57"/>
      <c r="J15" s="129"/>
      <c r="K15" s="129"/>
      <c r="L15" s="129"/>
      <c r="M15" s="129"/>
      <c r="N15" s="129"/>
      <c r="O15" s="160" t="s">
        <v>667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371</v>
      </c>
      <c r="AH15" s="260" t="s">
        <v>492</v>
      </c>
      <c r="AI15" s="260" t="s">
        <v>545</v>
      </c>
      <c r="AJ15" s="260" t="s">
        <v>546</v>
      </c>
      <c r="AK15" s="260" t="s">
        <v>547</v>
      </c>
      <c r="AL15" s="260" t="s">
        <v>548</v>
      </c>
      <c r="AM15" s="260" t="s">
        <v>549</v>
      </c>
      <c r="AN15" s="260" t="s">
        <v>550</v>
      </c>
      <c r="AO15" s="260" t="s">
        <v>551</v>
      </c>
      <c r="AP15" s="260" t="s">
        <v>552</v>
      </c>
      <c r="AQ15" s="260" t="s">
        <v>553</v>
      </c>
      <c r="AR15" s="260" t="s">
        <v>554</v>
      </c>
      <c r="AS15" s="260" t="s">
        <v>555</v>
      </c>
      <c r="AT15" s="260" t="s">
        <v>556</v>
      </c>
      <c r="AU15" s="260" t="s">
        <v>557</v>
      </c>
      <c r="AV15" s="260" t="s">
        <v>558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514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520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515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522</v>
      </c>
      <c r="D21" s="152" t="s">
        <v>512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533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500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517</v>
      </c>
      <c r="D24" s="186"/>
      <c r="E24" s="342" t="s">
        <v>668</v>
      </c>
      <c r="F24" s="155" t="s">
        <v>578</v>
      </c>
      <c r="G24" s="155"/>
      <c r="H24" s="155"/>
      <c r="I24" s="155"/>
      <c r="J24" s="155"/>
      <c r="K24" s="155"/>
      <c r="L24" s="155"/>
      <c r="M24" s="155"/>
      <c r="N24" s="155"/>
      <c r="O24" s="183" t="s">
        <v>518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>
        <v>103740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516</v>
      </c>
      <c r="D28" s="129"/>
      <c r="E28" s="129"/>
      <c r="F28" s="49">
        <v>1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0</v>
      </c>
      <c r="G29" s="176">
        <f t="shared" si="2"/>
        <v>0</v>
      </c>
      <c r="H29" s="176">
        <f t="shared" si="2"/>
        <v>0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523</v>
      </c>
      <c r="D31" s="184" t="s">
        <v>254</v>
      </c>
      <c r="E31" s="279">
        <f>1-SUMPRODUCT(F29:N29,F31:N31)</f>
        <v>1</v>
      </c>
      <c r="F31" s="279">
        <f>ROUND(F32/$D$32,4)</f>
        <v>0.5</v>
      </c>
      <c r="G31" s="279">
        <f t="shared" ref="G31:N31" si="3">ROUND(G32/$D$32,4)</f>
        <v>0.25</v>
      </c>
      <c r="H31" s="279">
        <f t="shared" si="3"/>
        <v>0.125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529</v>
      </c>
      <c r="D32" s="285">
        <f>SUMPRODUCT(E32:N32,E29:N29)</f>
        <v>1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601</v>
      </c>
      <c r="D35" s="152" t="s">
        <v>602</v>
      </c>
      <c r="E35" s="155" t="s">
        <v>600</v>
      </c>
      <c r="F35" s="155" t="s">
        <v>600</v>
      </c>
      <c r="G35" s="155" t="s">
        <v>600</v>
      </c>
      <c r="H35" s="155" t="s">
        <v>600</v>
      </c>
      <c r="I35" s="155" t="s">
        <v>600</v>
      </c>
      <c r="J35" s="155" t="s">
        <v>600</v>
      </c>
      <c r="K35" s="155" t="s">
        <v>600</v>
      </c>
      <c r="L35" s="155" t="s">
        <v>600</v>
      </c>
      <c r="M35" s="155" t="s">
        <v>600</v>
      </c>
      <c r="N35" s="155" t="s">
        <v>600</v>
      </c>
      <c r="O35" s="183" t="s">
        <v>142</v>
      </c>
      <c r="Q35" s="209"/>
      <c r="R35" s="67" t="s">
        <v>600</v>
      </c>
      <c r="S35" s="67" t="s">
        <v>603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534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527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528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521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525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526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532</v>
      </c>
      <c r="D46" s="199" t="s">
        <v>530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530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575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539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515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522</v>
      </c>
      <c r="D55" s="152" t="s">
        <v>512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533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517</v>
      </c>
      <c r="D58" s="186"/>
      <c r="E58" s="155" t="str">
        <f>E24</f>
        <v>Lehnitz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518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>
        <f>E25</f>
        <v>103740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29"/>
      <c r="E62" s="129"/>
      <c r="F62" s="156">
        <f>F28</f>
        <v>1</v>
      </c>
    </row>
    <row r="63" spans="2:28" ht="15" customHeight="1">
      <c r="E63" s="176">
        <f>IF(E64&gt;$F$62,0,1)</f>
        <v>1</v>
      </c>
      <c r="F63" s="176">
        <f t="shared" ref="F63:N63" si="11">IF(F64&gt;$F$62,0,1)</f>
        <v>0</v>
      </c>
      <c r="G63" s="176">
        <f t="shared" si="11"/>
        <v>0</v>
      </c>
      <c r="H63" s="176">
        <f t="shared" si="11"/>
        <v>0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523</v>
      </c>
      <c r="D65" s="184" t="s">
        <v>254</v>
      </c>
      <c r="E65" s="279">
        <f>1-SUMPRODUCT(F63:N63,F65:N65)</f>
        <v>1</v>
      </c>
      <c r="F65" s="279">
        <f>ROUND(F66/$D$66,4)</f>
        <v>0.5</v>
      </c>
      <c r="G65" s="279">
        <f t="shared" ref="G65:N65" si="12">ROUND(G66/$D$66,4)</f>
        <v>0.25</v>
      </c>
      <c r="H65" s="279">
        <f t="shared" si="12"/>
        <v>0.125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529</v>
      </c>
      <c r="D66" s="184">
        <f>SUMPRODUCT(E66:N66,E63:N63)</f>
        <v>1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601</v>
      </c>
      <c r="D69" s="152" t="s">
        <v>602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443</v>
      </c>
      <c r="D70" s="118" t="s">
        <v>534</v>
      </c>
      <c r="E70" s="162" t="s">
        <v>453</v>
      </c>
      <c r="F70" s="162" t="s">
        <v>453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5" t="s">
        <v>576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540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Netzbetreiber!$D$9</f>
        <v>Stadtwerke Oranienburg GmbH</v>
      </c>
      <c r="F4" s="129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Netzbetreiber!$D$28</f>
        <v>Stadt Oranienburg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9870034800002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519</v>
      </c>
      <c r="D9" s="129"/>
      <c r="E9" s="129"/>
      <c r="F9" s="153">
        <f>'SLP-Verfahren'!D46</f>
        <v>1</v>
      </c>
      <c r="H9" s="171" t="s">
        <v>597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581</v>
      </c>
      <c r="D10" s="129"/>
      <c r="E10" s="129"/>
      <c r="F10" s="49">
        <v>2</v>
      </c>
      <c r="G10" s="57"/>
      <c r="H10" s="171" t="s">
        <v>598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599</v>
      </c>
      <c r="D11" s="129"/>
      <c r="E11" s="129"/>
      <c r="F11" s="332">
        <f>INDEX('SLP-Verfahren'!D48:D62,'SLP-Temp-Gebiet #02'!F10)</f>
        <v>0</v>
      </c>
      <c r="G11" s="332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3" t="s">
        <v>580</v>
      </c>
      <c r="D13" s="343"/>
      <c r="E13" s="343"/>
      <c r="F13" s="181" t="s">
        <v>544</v>
      </c>
      <c r="G13" s="129" t="s">
        <v>542</v>
      </c>
      <c r="H13" s="261" t="s">
        <v>559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4" t="s">
        <v>448</v>
      </c>
      <c r="D14" s="344"/>
      <c r="E14" s="89" t="s">
        <v>449</v>
      </c>
      <c r="F14" s="262" t="s">
        <v>85</v>
      </c>
      <c r="G14" s="263" t="s">
        <v>568</v>
      </c>
      <c r="H14" s="51">
        <v>0</v>
      </c>
      <c r="I14" s="57"/>
      <c r="J14" s="129"/>
      <c r="K14" s="129"/>
      <c r="L14" s="129"/>
      <c r="M14" s="129"/>
      <c r="N14" s="129"/>
      <c r="O14" s="331" t="s">
        <v>647</v>
      </c>
      <c r="R14" s="207" t="s">
        <v>560</v>
      </c>
      <c r="S14" s="207" t="s">
        <v>561</v>
      </c>
      <c r="T14" s="207" t="s">
        <v>562</v>
      </c>
      <c r="U14" s="207" t="s">
        <v>563</v>
      </c>
      <c r="V14" s="207" t="s">
        <v>543</v>
      </c>
      <c r="W14" s="207" t="s">
        <v>564</v>
      </c>
      <c r="X14" s="207" t="s">
        <v>565</v>
      </c>
      <c r="Y14" s="207" t="s">
        <v>566</v>
      </c>
      <c r="Z14" s="207" t="s">
        <v>567</v>
      </c>
      <c r="AA14" s="207" t="s">
        <v>568</v>
      </c>
      <c r="AB14" s="207" t="s">
        <v>569</v>
      </c>
      <c r="AC14" s="207" t="s">
        <v>570</v>
      </c>
    </row>
    <row r="15" spans="2:56" ht="19.5" customHeight="1">
      <c r="B15" s="129"/>
      <c r="C15" s="344" t="s">
        <v>388</v>
      </c>
      <c r="D15" s="344"/>
      <c r="E15" s="89" t="s">
        <v>449</v>
      </c>
      <c r="F15" s="262" t="s">
        <v>71</v>
      </c>
      <c r="G15" s="263" t="s">
        <v>562</v>
      </c>
      <c r="H15" s="51">
        <v>0</v>
      </c>
      <c r="I15" s="57"/>
      <c r="J15" s="129"/>
      <c r="K15" s="129"/>
      <c r="L15" s="129"/>
      <c r="M15" s="129"/>
      <c r="N15" s="129"/>
      <c r="O15" s="160" t="s">
        <v>524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371</v>
      </c>
      <c r="AH15" s="260" t="s">
        <v>492</v>
      </c>
      <c r="AI15" s="260" t="s">
        <v>545</v>
      </c>
      <c r="AJ15" s="260" t="s">
        <v>546</v>
      </c>
      <c r="AK15" s="260" t="s">
        <v>547</v>
      </c>
      <c r="AL15" s="260" t="s">
        <v>548</v>
      </c>
      <c r="AM15" s="260" t="s">
        <v>549</v>
      </c>
      <c r="AN15" s="260" t="s">
        <v>550</v>
      </c>
      <c r="AO15" s="260" t="s">
        <v>551</v>
      </c>
      <c r="AP15" s="260" t="s">
        <v>552</v>
      </c>
      <c r="AQ15" s="260" t="s">
        <v>553</v>
      </c>
      <c r="AR15" s="260" t="s">
        <v>554</v>
      </c>
      <c r="AS15" s="260" t="s">
        <v>555</v>
      </c>
      <c r="AT15" s="260" t="s">
        <v>556</v>
      </c>
      <c r="AU15" s="260" t="s">
        <v>557</v>
      </c>
      <c r="AV15" s="260" t="s">
        <v>558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514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520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515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522</v>
      </c>
      <c r="D21" s="152" t="s">
        <v>512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533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517</v>
      </c>
      <c r="D24" s="186"/>
      <c r="E24" s="155" t="s">
        <v>577</v>
      </c>
      <c r="F24" s="155" t="s">
        <v>578</v>
      </c>
      <c r="G24" s="155"/>
      <c r="H24" s="155"/>
      <c r="I24" s="155"/>
      <c r="J24" s="155"/>
      <c r="K24" s="155"/>
      <c r="L24" s="155"/>
      <c r="M24" s="155"/>
      <c r="N24" s="155"/>
      <c r="O24" s="183" t="s">
        <v>518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 t="s">
        <v>364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516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523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529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601</v>
      </c>
      <c r="D35" s="152" t="s">
        <v>602</v>
      </c>
      <c r="E35" s="155" t="s">
        <v>600</v>
      </c>
      <c r="F35" s="155" t="s">
        <v>600</v>
      </c>
      <c r="G35" s="155" t="s">
        <v>600</v>
      </c>
      <c r="H35" s="155" t="s">
        <v>600</v>
      </c>
      <c r="I35" s="155" t="s">
        <v>600</v>
      </c>
      <c r="J35" s="155" t="s">
        <v>600</v>
      </c>
      <c r="K35" s="155" t="s">
        <v>600</v>
      </c>
      <c r="L35" s="155" t="s">
        <v>600</v>
      </c>
      <c r="M35" s="155" t="s">
        <v>600</v>
      </c>
      <c r="N35" s="155" t="s">
        <v>600</v>
      </c>
      <c r="O35" s="183" t="s">
        <v>142</v>
      </c>
      <c r="Q35" s="209"/>
      <c r="R35" s="67" t="s">
        <v>600</v>
      </c>
      <c r="S35" s="67" t="s">
        <v>603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534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527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528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521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525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526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532</v>
      </c>
      <c r="D46" s="199" t="s">
        <v>530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530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575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539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515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522</v>
      </c>
      <c r="D55" s="152" t="s">
        <v>512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533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517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518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523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529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601</v>
      </c>
      <c r="D69" s="152" t="s">
        <v>602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443</v>
      </c>
      <c r="D70" s="118" t="s">
        <v>534</v>
      </c>
      <c r="E70" s="162" t="s">
        <v>453</v>
      </c>
      <c r="F70" s="162" t="s">
        <v>453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5" t="s">
        <v>576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H19" sqref="H19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365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370</v>
      </c>
      <c r="D5" s="54" t="str">
        <f>Netzbetreiber!$D$9</f>
        <v>Stadtwerke Oranienburg GmbH</v>
      </c>
      <c r="E5" s="129"/>
      <c r="J5" s="88" t="s">
        <v>496</v>
      </c>
      <c r="K5" s="130" t="s">
        <v>498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338</v>
      </c>
      <c r="D6" s="54" t="str">
        <f>Netzbetreiber!$D$28</f>
        <v>Stadt Oranienburg</v>
      </c>
      <c r="E6" s="129"/>
      <c r="F6" s="129"/>
      <c r="K6" s="130" t="s">
        <v>505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9870034800002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42278</v>
      </c>
      <c r="E8" s="129"/>
      <c r="F8" s="129"/>
      <c r="H8" s="127" t="s">
        <v>494</v>
      </c>
      <c r="J8" s="131">
        <f>COUNTA(D12:D100)</f>
        <v>15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493</v>
      </c>
      <c r="D10" s="133" t="s">
        <v>147</v>
      </c>
      <c r="E10" s="272" t="s">
        <v>507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631</v>
      </c>
      <c r="M10" s="149" t="s">
        <v>640</v>
      </c>
      <c r="N10" s="150" t="s">
        <v>641</v>
      </c>
      <c r="O10" s="150" t="s">
        <v>642</v>
      </c>
      <c r="P10" s="151" t="s">
        <v>643</v>
      </c>
      <c r="Q10" s="145" t="s">
        <v>632</v>
      </c>
      <c r="R10" s="135" t="s">
        <v>633</v>
      </c>
      <c r="S10" s="136" t="s">
        <v>634</v>
      </c>
      <c r="T10" s="136" t="s">
        <v>635</v>
      </c>
      <c r="U10" s="136" t="s">
        <v>636</v>
      </c>
      <c r="V10" s="136" t="s">
        <v>637</v>
      </c>
      <c r="W10" s="136" t="s">
        <v>638</v>
      </c>
      <c r="X10" s="137" t="s">
        <v>639</v>
      </c>
      <c r="Y10" s="294" t="s">
        <v>644</v>
      </c>
    </row>
    <row r="11" spans="2:26" ht="15.75" thickBot="1">
      <c r="B11" s="138" t="s">
        <v>495</v>
      </c>
      <c r="C11" s="139" t="s">
        <v>506</v>
      </c>
      <c r="D11" s="293" t="s">
        <v>247</v>
      </c>
      <c r="E11" s="163" t="s">
        <v>513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4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5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Stadt Oranienburg</v>
      </c>
      <c r="D12" s="62" t="s">
        <v>247</v>
      </c>
      <c r="E12" s="165" t="s">
        <v>669</v>
      </c>
      <c r="F12" s="296" t="str">
        <f>VLOOKUP($E12,'BDEW-Standard'!$B$3:$M$158,F$9,0)</f>
        <v>BA4</v>
      </c>
      <c r="H12" s="273">
        <f>ROUND(VLOOKUP($E12,'BDEW-Standard'!$B$3:$M$158,H$9,0),7)</f>
        <v>0.93158890000000005</v>
      </c>
      <c r="I12" s="273">
        <f>ROUND(VLOOKUP($E12,'BDEW-Standard'!$B$3:$M$158,I$9,0),7)</f>
        <v>-33.35</v>
      </c>
      <c r="J12" s="273">
        <f>ROUND(VLOOKUP($E12,'BDEW-Standard'!$B$3:$M$158,J$9,0),7)</f>
        <v>5.7212303000000002</v>
      </c>
      <c r="K12" s="273">
        <f>ROUND(VLOOKUP($E12,'BDEW-Standard'!$B$3:$M$158,K$9,0),7)</f>
        <v>0.66564939999999995</v>
      </c>
      <c r="L12" s="336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7">
        <f t="shared" ref="Q12:Q26" si="1">($H12/(1+($I12/($Q$9-$L12))^$J12)+$K12)+MAX($M12*$Q$9+$N12,$O12*$Q$9+$P12)</f>
        <v>1.0766391850538448</v>
      </c>
      <c r="R12" s="274">
        <f>ROUND(VLOOKUP(MID($E12,4,3),'Wochentag F(WT)'!$B$7:$J$22,R$9,0),4)</f>
        <v>1.0848</v>
      </c>
      <c r="S12" s="274">
        <f>ROUND(VLOOKUP(MID($E12,4,3),'Wochentag F(WT)'!$B$7:$J$22,S$9,0),4)</f>
        <v>1.1211</v>
      </c>
      <c r="T12" s="274">
        <f>ROUND(VLOOKUP(MID($E12,4,3),'Wochentag F(WT)'!$B$7:$J$22,T$9,0),4)</f>
        <v>1.0769</v>
      </c>
      <c r="U12" s="274">
        <f>ROUND(VLOOKUP(MID($E12,4,3),'Wochentag F(WT)'!$B$7:$J$22,U$9,0),4)</f>
        <v>1.1353</v>
      </c>
      <c r="V12" s="274">
        <f>ROUND(VLOOKUP(MID($E12,4,3),'Wochentag F(WT)'!$B$7:$J$22,V$9,0),4)</f>
        <v>1.1402000000000001</v>
      </c>
      <c r="W12" s="274">
        <f>ROUND(VLOOKUP(MID($E12,4,3),'Wochentag F(WT)'!$B$7:$J$22,W$9,0),4)</f>
        <v>0.48520000000000002</v>
      </c>
      <c r="X12" s="275">
        <f>7-SUM(R12:W12)</f>
        <v>0.95650000000000013</v>
      </c>
      <c r="Y12" s="292"/>
      <c r="Z12" s="210"/>
    </row>
    <row r="13" spans="2:26" s="142" customFormat="1">
      <c r="B13" s="143">
        <v>2</v>
      </c>
      <c r="C13" s="144" t="str">
        <f t="shared" si="0"/>
        <v>Stadt Oranienburg</v>
      </c>
      <c r="D13" s="62" t="s">
        <v>247</v>
      </c>
      <c r="E13" s="164" t="s">
        <v>670</v>
      </c>
      <c r="F13" s="296" t="str">
        <f>VLOOKUP($E13,'BDEW-Standard'!$B$3:$M$158,F$9,0)</f>
        <v>BD4</v>
      </c>
      <c r="H13" s="273">
        <f>ROUND(VLOOKUP($E13,'BDEW-Standard'!$B$3:$M$158,H$9,0),7)</f>
        <v>3.75</v>
      </c>
      <c r="I13" s="273">
        <f>ROUND(VLOOKUP($E13,'BDEW-Standard'!$B$3:$M$158,I$9,0),7)</f>
        <v>-37.5</v>
      </c>
      <c r="J13" s="273">
        <f>ROUND(VLOOKUP($E13,'BDEW-Standard'!$B$3:$M$158,J$9,0),7)</f>
        <v>6.8</v>
      </c>
      <c r="K13" s="273">
        <f>ROUND(VLOOKUP($E13,'BDEW-Standard'!$B$3:$M$158,K$9,0),7)</f>
        <v>6.0911300000000002E-2</v>
      </c>
      <c r="L13" s="336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7">
        <f t="shared" si="1"/>
        <v>1.0126136468627658</v>
      </c>
      <c r="R13" s="274">
        <f>ROUND(VLOOKUP(MID($E13,4,3),'Wochentag F(WT)'!$B$7:$J$22,R$9,0),4)</f>
        <v>1.1052</v>
      </c>
      <c r="S13" s="274">
        <f>ROUND(VLOOKUP(MID($E13,4,3),'Wochentag F(WT)'!$B$7:$J$22,S$9,0),4)</f>
        <v>1.0857000000000001</v>
      </c>
      <c r="T13" s="274">
        <f>ROUND(VLOOKUP(MID($E13,4,3),'Wochentag F(WT)'!$B$7:$J$22,T$9,0),4)</f>
        <v>1.0378000000000001</v>
      </c>
      <c r="U13" s="274">
        <f>ROUND(VLOOKUP(MID($E13,4,3),'Wochentag F(WT)'!$B$7:$J$22,U$9,0),4)</f>
        <v>1.0622</v>
      </c>
      <c r="V13" s="274">
        <f>ROUND(VLOOKUP(MID($E13,4,3),'Wochentag F(WT)'!$B$7:$J$22,V$9,0),4)</f>
        <v>1.0266</v>
      </c>
      <c r="W13" s="274">
        <f>ROUND(VLOOKUP(MID($E13,4,3),'Wochentag F(WT)'!$B$7:$J$22,W$9,0),4)</f>
        <v>0.76290000000000002</v>
      </c>
      <c r="X13" s="275">
        <f t="shared" ref="X13:X26" si="2">7-SUM(R13:W13)</f>
        <v>0.91959999999999997</v>
      </c>
      <c r="Y13" s="292"/>
      <c r="Z13" s="210"/>
    </row>
    <row r="14" spans="2:26" s="142" customFormat="1">
      <c r="B14" s="143">
        <v>3</v>
      </c>
      <c r="C14" s="144" t="str">
        <f t="shared" si="0"/>
        <v>Stadt Oranienburg</v>
      </c>
      <c r="D14" s="62" t="s">
        <v>247</v>
      </c>
      <c r="E14" s="164" t="s">
        <v>671</v>
      </c>
      <c r="F14" s="296" t="str">
        <f>VLOOKUP($E14,'BDEW-Standard'!$B$3:$M$158,F$9,0)</f>
        <v>BH4</v>
      </c>
      <c r="H14" s="273">
        <f>ROUND(VLOOKUP($E14,'BDEW-Standard'!$B$3:$M$158,H$9,0),7)</f>
        <v>2.4595180999999999</v>
      </c>
      <c r="I14" s="273">
        <f>ROUND(VLOOKUP($E14,'BDEW-Standard'!$B$3:$M$158,I$9,0),7)</f>
        <v>-35.253212400000002</v>
      </c>
      <c r="J14" s="273">
        <f>ROUND(VLOOKUP($E14,'BDEW-Standard'!$B$3:$M$158,J$9,0),7)</f>
        <v>6.0587001000000003</v>
      </c>
      <c r="K14" s="273">
        <f>ROUND(VLOOKUP($E14,'BDEW-Standard'!$B$3:$M$158,K$9,0),7)</f>
        <v>0.16473699999999999</v>
      </c>
      <c r="L14" s="336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7">
        <f t="shared" si="1"/>
        <v>1.043802057143173</v>
      </c>
      <c r="R14" s="274">
        <f>ROUND(VLOOKUP(MID($E14,4,3),'Wochentag F(WT)'!$B$7:$J$22,R$9,0),4)</f>
        <v>0.97670000000000001</v>
      </c>
      <c r="S14" s="274">
        <f>ROUND(VLOOKUP(MID($E14,4,3),'Wochentag F(WT)'!$B$7:$J$22,S$9,0),4)</f>
        <v>1.0388999999999999</v>
      </c>
      <c r="T14" s="274">
        <f>ROUND(VLOOKUP(MID($E14,4,3),'Wochentag F(WT)'!$B$7:$J$22,T$9,0),4)</f>
        <v>1.0027999999999999</v>
      </c>
      <c r="U14" s="274">
        <f>ROUND(VLOOKUP(MID($E14,4,3),'Wochentag F(WT)'!$B$7:$J$22,U$9,0),4)</f>
        <v>1.0162</v>
      </c>
      <c r="V14" s="274">
        <f>ROUND(VLOOKUP(MID($E14,4,3),'Wochentag F(WT)'!$B$7:$J$22,V$9,0),4)</f>
        <v>1.0024</v>
      </c>
      <c r="W14" s="274">
        <f>ROUND(VLOOKUP(MID($E14,4,3),'Wochentag F(WT)'!$B$7:$J$22,W$9,0),4)</f>
        <v>1.0043</v>
      </c>
      <c r="X14" s="275">
        <f t="shared" si="2"/>
        <v>0.95870000000000122</v>
      </c>
      <c r="Y14" s="292"/>
      <c r="Z14" s="210"/>
    </row>
    <row r="15" spans="2:26" s="142" customFormat="1">
      <c r="B15" s="143">
        <v>4</v>
      </c>
      <c r="C15" s="144" t="str">
        <f t="shared" si="0"/>
        <v>Stadt Oranienburg</v>
      </c>
      <c r="D15" s="62" t="s">
        <v>247</v>
      </c>
      <c r="E15" s="164" t="s">
        <v>672</v>
      </c>
      <c r="F15" s="296" t="str">
        <f>VLOOKUP($E15,'BDEW-Standard'!$B$3:$M$158,F$9,0)</f>
        <v>GA4</v>
      </c>
      <c r="H15" s="273">
        <f>ROUND(VLOOKUP($E15,'BDEW-Standard'!$B$3:$M$158,H$9,0),7)</f>
        <v>2.8195655999999998</v>
      </c>
      <c r="I15" s="273">
        <f>ROUND(VLOOKUP($E15,'BDEW-Standard'!$B$3:$M$158,I$9,0),7)</f>
        <v>-36</v>
      </c>
      <c r="J15" s="273">
        <f>ROUND(VLOOKUP($E15,'BDEW-Standard'!$B$3:$M$158,J$9,0),7)</f>
        <v>7.7368518000000002</v>
      </c>
      <c r="K15" s="273">
        <f>ROUND(VLOOKUP($E15,'BDEW-Standard'!$B$3:$M$158,K$9,0),7)</f>
        <v>0.157281</v>
      </c>
      <c r="L15" s="336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7">
        <f t="shared" si="1"/>
        <v>0.96576337685759206</v>
      </c>
      <c r="R15" s="274">
        <f>ROUND(VLOOKUP(MID($E15,4,3),'Wochentag F(WT)'!$B$7:$J$22,R$9,0),4)</f>
        <v>0.93220000000000003</v>
      </c>
      <c r="S15" s="274">
        <f>ROUND(VLOOKUP(MID($E15,4,3),'Wochentag F(WT)'!$B$7:$J$22,S$9,0),4)</f>
        <v>0.98939999999999995</v>
      </c>
      <c r="T15" s="274">
        <f>ROUND(VLOOKUP(MID($E15,4,3),'Wochentag F(WT)'!$B$7:$J$22,T$9,0),4)</f>
        <v>1.0033000000000001</v>
      </c>
      <c r="U15" s="274">
        <f>ROUND(VLOOKUP(MID($E15,4,3),'Wochentag F(WT)'!$B$7:$J$22,U$9,0),4)</f>
        <v>1.0108999999999999</v>
      </c>
      <c r="V15" s="274">
        <f>ROUND(VLOOKUP(MID($E15,4,3),'Wochentag F(WT)'!$B$7:$J$22,V$9,0),4)</f>
        <v>1.018</v>
      </c>
      <c r="W15" s="274">
        <f>ROUND(VLOOKUP(MID($E15,4,3),'Wochentag F(WT)'!$B$7:$J$22,W$9,0),4)</f>
        <v>1.0356000000000001</v>
      </c>
      <c r="X15" s="275">
        <f t="shared" si="2"/>
        <v>1.0106000000000002</v>
      </c>
      <c r="Y15" s="292"/>
      <c r="Z15" s="210"/>
    </row>
    <row r="16" spans="2:26" s="142" customFormat="1">
      <c r="B16" s="143">
        <v>5</v>
      </c>
      <c r="C16" s="144" t="str">
        <f t="shared" si="0"/>
        <v>Stadt Oranienburg</v>
      </c>
      <c r="D16" s="62" t="s">
        <v>247</v>
      </c>
      <c r="E16" s="165" t="s">
        <v>673</v>
      </c>
      <c r="F16" s="296" t="str">
        <f>VLOOKUP($E16,'BDEW-Standard'!$B$3:$M$158,F$9,0)</f>
        <v>GB4</v>
      </c>
      <c r="H16" s="273">
        <f>ROUND(VLOOKUP($E16,'BDEW-Standard'!$B$3:$M$158,H$9,0),7)</f>
        <v>3.6017736</v>
      </c>
      <c r="I16" s="273">
        <f>ROUND(VLOOKUP($E16,'BDEW-Standard'!$B$3:$M$158,I$9,0),7)</f>
        <v>-37.882536799999997</v>
      </c>
      <c r="J16" s="273">
        <f>ROUND(VLOOKUP($E16,'BDEW-Standard'!$B$3:$M$158,J$9,0),7)</f>
        <v>6.9836070000000001</v>
      </c>
      <c r="K16" s="273">
        <f>ROUND(VLOOKUP($E16,'BDEW-Standard'!$B$3:$M$158,K$9,0),7)</f>
        <v>5.4826199999999999E-2</v>
      </c>
      <c r="L16" s="336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7">
        <f t="shared" si="1"/>
        <v>0.90239375975311864</v>
      </c>
      <c r="R16" s="274">
        <f>ROUND(VLOOKUP(MID($E16,4,3),'Wochentag F(WT)'!$B$7:$J$22,R$9,0),4)</f>
        <v>0.98970000000000002</v>
      </c>
      <c r="S16" s="274">
        <f>ROUND(VLOOKUP(MID($E16,4,3),'Wochentag F(WT)'!$B$7:$J$22,S$9,0),4)</f>
        <v>0.9627</v>
      </c>
      <c r="T16" s="274">
        <f>ROUND(VLOOKUP(MID($E16,4,3),'Wochentag F(WT)'!$B$7:$J$22,T$9,0),4)</f>
        <v>1.0507</v>
      </c>
      <c r="U16" s="274">
        <f>ROUND(VLOOKUP(MID($E16,4,3),'Wochentag F(WT)'!$B$7:$J$22,U$9,0),4)</f>
        <v>1.0551999999999999</v>
      </c>
      <c r="V16" s="274">
        <f>ROUND(VLOOKUP(MID($E16,4,3),'Wochentag F(WT)'!$B$7:$J$22,V$9,0),4)</f>
        <v>1.0297000000000001</v>
      </c>
      <c r="W16" s="274">
        <f>ROUND(VLOOKUP(MID($E16,4,3),'Wochentag F(WT)'!$B$7:$J$22,W$9,0),4)</f>
        <v>0.97670000000000001</v>
      </c>
      <c r="X16" s="275">
        <f t="shared" si="2"/>
        <v>0.9352999999999998</v>
      </c>
      <c r="Y16" s="292"/>
      <c r="Z16" s="210"/>
    </row>
    <row r="17" spans="2:26" s="142" customFormat="1">
      <c r="B17" s="143">
        <v>6</v>
      </c>
      <c r="C17" s="144" t="str">
        <f t="shared" si="0"/>
        <v>Stadt Oranienburg</v>
      </c>
      <c r="D17" s="62" t="s">
        <v>247</v>
      </c>
      <c r="E17" s="165" t="s">
        <v>674</v>
      </c>
      <c r="F17" s="296" t="str">
        <f>VLOOKUP($E17,'BDEW-Standard'!$B$3:$M$158,F$9,0)</f>
        <v>HA4</v>
      </c>
      <c r="H17" s="273">
        <f>ROUND(VLOOKUP($E17,'BDEW-Standard'!$B$3:$M$158,H$9,0),7)</f>
        <v>4.0196902000000003</v>
      </c>
      <c r="I17" s="273">
        <f>ROUND(VLOOKUP($E17,'BDEW-Standard'!$B$3:$M$158,I$9,0),7)</f>
        <v>-37.828203700000003</v>
      </c>
      <c r="J17" s="273">
        <f>ROUND(VLOOKUP($E17,'BDEW-Standard'!$B$3:$M$158,J$9,0),7)</f>
        <v>8.1593368999999996</v>
      </c>
      <c r="K17" s="273">
        <f>ROUND(VLOOKUP($E17,'BDEW-Standard'!$B$3:$M$158,K$9,0),7)</f>
        <v>4.72845E-2</v>
      </c>
      <c r="L17" s="336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7">
        <f t="shared" si="1"/>
        <v>0.86486713303260787</v>
      </c>
      <c r="R17" s="274">
        <f>ROUND(VLOOKUP(MID($E17,4,3),'Wochentag F(WT)'!$B$7:$J$22,R$9,0),4)</f>
        <v>1.0358000000000001</v>
      </c>
      <c r="S17" s="274">
        <f>ROUND(VLOOKUP(MID($E17,4,3),'Wochentag F(WT)'!$B$7:$J$22,S$9,0),4)</f>
        <v>1.0232000000000001</v>
      </c>
      <c r="T17" s="274">
        <f>ROUND(VLOOKUP(MID($E17,4,3),'Wochentag F(WT)'!$B$7:$J$22,T$9,0),4)</f>
        <v>1.0251999999999999</v>
      </c>
      <c r="U17" s="274">
        <f>ROUND(VLOOKUP(MID($E17,4,3),'Wochentag F(WT)'!$B$7:$J$22,U$9,0),4)</f>
        <v>1.0295000000000001</v>
      </c>
      <c r="V17" s="274">
        <f>ROUND(VLOOKUP(MID($E17,4,3),'Wochentag F(WT)'!$B$7:$J$22,V$9,0),4)</f>
        <v>1.0253000000000001</v>
      </c>
      <c r="W17" s="274">
        <f>ROUND(VLOOKUP(MID($E17,4,3),'Wochentag F(WT)'!$B$7:$J$22,W$9,0),4)</f>
        <v>0.96750000000000003</v>
      </c>
      <c r="X17" s="275">
        <f t="shared" si="2"/>
        <v>0.89350000000000041</v>
      </c>
      <c r="Y17" s="292"/>
      <c r="Z17" s="210"/>
    </row>
    <row r="18" spans="2:26" s="142" customFormat="1">
      <c r="B18" s="143">
        <v>7</v>
      </c>
      <c r="C18" s="144" t="str">
        <f t="shared" si="0"/>
        <v>Stadt Oranienburg</v>
      </c>
      <c r="D18" s="62" t="s">
        <v>247</v>
      </c>
      <c r="E18" s="165" t="s">
        <v>675</v>
      </c>
      <c r="F18" s="296" t="str">
        <f>VLOOKUP($E18,'BDEW-Standard'!$B$3:$M$158,F$9,0)</f>
        <v>HD4</v>
      </c>
      <c r="H18" s="273">
        <f>ROUND(VLOOKUP($E18,'BDEW-Standard'!$B$3:$M$158,H$9,0),7)</f>
        <v>3.0084346000000002</v>
      </c>
      <c r="I18" s="273">
        <f>ROUND(VLOOKUP($E18,'BDEW-Standard'!$B$3:$M$158,I$9,0),7)</f>
        <v>-36.607845300000001</v>
      </c>
      <c r="J18" s="273">
        <f>ROUND(VLOOKUP($E18,'BDEW-Standard'!$B$3:$M$158,J$9,0),7)</f>
        <v>7.3211870000000001</v>
      </c>
      <c r="K18" s="273">
        <f>ROUND(VLOOKUP($E18,'BDEW-Standard'!$B$3:$M$158,K$9,0),7)</f>
        <v>0.15496599999999999</v>
      </c>
      <c r="L18" s="336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7">
        <f t="shared" si="1"/>
        <v>0.97302438504000599</v>
      </c>
      <c r="R18" s="274">
        <f>ROUND(VLOOKUP(MID($E18,4,3),'Wochentag F(WT)'!$B$7:$J$22,R$9,0),4)</f>
        <v>1.03</v>
      </c>
      <c r="S18" s="274">
        <f>ROUND(VLOOKUP(MID($E18,4,3),'Wochentag F(WT)'!$B$7:$J$22,S$9,0),4)</f>
        <v>1.03</v>
      </c>
      <c r="T18" s="274">
        <f>ROUND(VLOOKUP(MID($E18,4,3),'Wochentag F(WT)'!$B$7:$J$22,T$9,0),4)</f>
        <v>1.02</v>
      </c>
      <c r="U18" s="274">
        <f>ROUND(VLOOKUP(MID($E18,4,3),'Wochentag F(WT)'!$B$7:$J$22,U$9,0),4)</f>
        <v>1.03</v>
      </c>
      <c r="V18" s="274">
        <f>ROUND(VLOOKUP(MID($E18,4,3),'Wochentag F(WT)'!$B$7:$J$22,V$9,0),4)</f>
        <v>1.01</v>
      </c>
      <c r="W18" s="274">
        <f>ROUND(VLOOKUP(MID($E18,4,3),'Wochentag F(WT)'!$B$7:$J$22,W$9,0),4)</f>
        <v>0.93</v>
      </c>
      <c r="X18" s="275">
        <f t="shared" si="2"/>
        <v>0.95000000000000018</v>
      </c>
      <c r="Y18" s="292"/>
      <c r="Z18" s="210"/>
    </row>
    <row r="19" spans="2:26" s="142" customFormat="1">
      <c r="B19" s="143">
        <v>8</v>
      </c>
      <c r="C19" s="144" t="str">
        <f t="shared" si="0"/>
        <v>Stadt Oranienburg</v>
      </c>
      <c r="D19" s="62" t="s">
        <v>247</v>
      </c>
      <c r="E19" s="165" t="s">
        <v>4</v>
      </c>
      <c r="F19" s="296" t="str">
        <f>VLOOKUP($E19,'BDEW-Standard'!$B$3:$M$158,F$9,0)</f>
        <v>HK3</v>
      </c>
      <c r="H19" s="273">
        <f>ROUND(VLOOKUP($E19,'BDEW-Standard'!$B$3:$M$158,H$9,0),7)</f>
        <v>0.40409319999999999</v>
      </c>
      <c r="I19" s="273">
        <f>ROUND(VLOOKUP($E19,'BDEW-Standard'!$B$3:$M$158,I$9,0),7)</f>
        <v>-24.439296800000001</v>
      </c>
      <c r="J19" s="273">
        <f>ROUND(VLOOKUP($E19,'BDEW-Standard'!$B$3:$M$158,J$9,0),7)</f>
        <v>6.5718174999999999</v>
      </c>
      <c r="K19" s="273">
        <f>ROUND(VLOOKUP($E19,'BDEW-Standard'!$B$3:$M$158,K$9,0),7)</f>
        <v>0.71077100000000004</v>
      </c>
      <c r="L19" s="336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7">
        <f t="shared" si="1"/>
        <v>1.0561214000512988</v>
      </c>
      <c r="R19" s="274">
        <f>ROUND(VLOOKUP(MID($E19,4,3),'Wochentag F(WT)'!$B$7:$J$22,R$9,0),4)</f>
        <v>1</v>
      </c>
      <c r="S19" s="274">
        <f>ROUND(VLOOKUP(MID($E19,4,3),'Wochentag F(WT)'!$B$7:$J$22,S$9,0),4)</f>
        <v>1</v>
      </c>
      <c r="T19" s="274">
        <f>ROUND(VLOOKUP(MID($E19,4,3),'Wochentag F(WT)'!$B$7:$J$22,T$9,0),4)</f>
        <v>1</v>
      </c>
      <c r="U19" s="274">
        <f>ROUND(VLOOKUP(MID($E19,4,3),'Wochentag F(WT)'!$B$7:$J$22,U$9,0),4)</f>
        <v>1</v>
      </c>
      <c r="V19" s="274">
        <f>ROUND(VLOOKUP(MID($E19,4,3),'Wochentag F(WT)'!$B$7:$J$22,V$9,0),4)</f>
        <v>1</v>
      </c>
      <c r="W19" s="274">
        <f>ROUND(VLOOKUP(MID($E19,4,3),'Wochentag F(WT)'!$B$7:$J$22,W$9,0),4)</f>
        <v>1</v>
      </c>
      <c r="X19" s="275">
        <f t="shared" si="2"/>
        <v>1</v>
      </c>
      <c r="Y19" s="292"/>
      <c r="Z19" s="210"/>
    </row>
    <row r="20" spans="2:26" s="142" customFormat="1">
      <c r="B20" s="143">
        <v>9</v>
      </c>
      <c r="C20" s="144" t="str">
        <f t="shared" si="0"/>
        <v>Stadt Oranienburg</v>
      </c>
      <c r="D20" s="62" t="s">
        <v>247</v>
      </c>
      <c r="E20" s="165" t="s">
        <v>676</v>
      </c>
      <c r="F20" s="296" t="str">
        <f>VLOOKUP($E20,'BDEW-Standard'!$B$3:$M$158,F$9,0)</f>
        <v>KO4</v>
      </c>
      <c r="H20" s="273">
        <f>ROUND(VLOOKUP($E20,'BDEW-Standard'!$B$3:$M$158,H$9,0),7)</f>
        <v>3.4428942999999999</v>
      </c>
      <c r="I20" s="273">
        <f>ROUND(VLOOKUP($E20,'BDEW-Standard'!$B$3:$M$158,I$9,0),7)</f>
        <v>-36.659050399999998</v>
      </c>
      <c r="J20" s="273">
        <f>ROUND(VLOOKUP($E20,'BDEW-Standard'!$B$3:$M$158,J$9,0),7)</f>
        <v>7.6083226000000002</v>
      </c>
      <c r="K20" s="273">
        <f>ROUND(VLOOKUP($E20,'BDEW-Standard'!$B$3:$M$158,K$9,0),7)</f>
        <v>7.4685000000000001E-2</v>
      </c>
      <c r="L20" s="336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7">
        <f t="shared" si="1"/>
        <v>0.97768382110526542</v>
      </c>
      <c r="R20" s="274">
        <f>ROUND(VLOOKUP(MID($E20,4,3),'Wochentag F(WT)'!$B$7:$J$22,R$9,0),4)</f>
        <v>1.0354000000000001</v>
      </c>
      <c r="S20" s="274">
        <f>ROUND(VLOOKUP(MID($E20,4,3),'Wochentag F(WT)'!$B$7:$J$22,S$9,0),4)</f>
        <v>1.0523</v>
      </c>
      <c r="T20" s="274">
        <f>ROUND(VLOOKUP(MID($E20,4,3),'Wochentag F(WT)'!$B$7:$J$22,T$9,0),4)</f>
        <v>1.0448999999999999</v>
      </c>
      <c r="U20" s="274">
        <f>ROUND(VLOOKUP(MID($E20,4,3),'Wochentag F(WT)'!$B$7:$J$22,U$9,0),4)</f>
        <v>1.0494000000000001</v>
      </c>
      <c r="V20" s="274">
        <f>ROUND(VLOOKUP(MID($E20,4,3),'Wochentag F(WT)'!$B$7:$J$22,V$9,0),4)</f>
        <v>0.98850000000000005</v>
      </c>
      <c r="W20" s="274">
        <f>ROUND(VLOOKUP(MID($E20,4,3),'Wochentag F(WT)'!$B$7:$J$22,W$9,0),4)</f>
        <v>0.88600000000000001</v>
      </c>
      <c r="X20" s="275">
        <f t="shared" si="2"/>
        <v>0.94349999999999934</v>
      </c>
      <c r="Y20" s="292"/>
      <c r="Z20" s="210"/>
    </row>
    <row r="21" spans="2:26" s="142" customFormat="1">
      <c r="B21" s="143">
        <v>10</v>
      </c>
      <c r="C21" s="144" t="str">
        <f t="shared" si="0"/>
        <v>Stadt Oranienburg</v>
      </c>
      <c r="D21" s="62" t="s">
        <v>247</v>
      </c>
      <c r="E21" s="165" t="s">
        <v>680</v>
      </c>
      <c r="F21" s="296" t="str">
        <f>VLOOKUP($E21,'BDEW-Standard'!$B$3:$M$158,F$9,0)</f>
        <v>MF4</v>
      </c>
      <c r="H21" s="273">
        <f>ROUND(VLOOKUP($E21,'BDEW-Standard'!$B$3:$M$158,H$9,0),7)</f>
        <v>2.5187775000000001</v>
      </c>
      <c r="I21" s="273">
        <f>ROUND(VLOOKUP($E21,'BDEW-Standard'!$B$3:$M$158,I$9,0),7)</f>
        <v>-35.033375399999997</v>
      </c>
      <c r="J21" s="273">
        <f>ROUND(VLOOKUP($E21,'BDEW-Standard'!$B$3:$M$158,J$9,0),7)</f>
        <v>6.2240634000000004</v>
      </c>
      <c r="K21" s="273">
        <f>ROUND(VLOOKUP($E21,'BDEW-Standard'!$B$3:$M$158,K$9,0),7)</f>
        <v>0.10107820000000001</v>
      </c>
      <c r="L21" s="336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7">
        <f t="shared" si="1"/>
        <v>1.0146273685996503</v>
      </c>
      <c r="R21" s="274">
        <f>ROUND(VLOOKUP(MID($E21,4,3),'Wochentag F(WT)'!$B$7:$J$22,R$9,0),4)</f>
        <v>1.0354000000000001</v>
      </c>
      <c r="S21" s="274">
        <f>ROUND(VLOOKUP(MID($E21,4,3),'Wochentag F(WT)'!$B$7:$J$22,S$9,0),4)</f>
        <v>1.0523</v>
      </c>
      <c r="T21" s="274">
        <f>ROUND(VLOOKUP(MID($E21,4,3),'Wochentag F(WT)'!$B$7:$J$22,T$9,0),4)</f>
        <v>1.0448999999999999</v>
      </c>
      <c r="U21" s="274">
        <f>ROUND(VLOOKUP(MID($E21,4,3),'Wochentag F(WT)'!$B$7:$J$22,U$9,0),4)</f>
        <v>1.0494000000000001</v>
      </c>
      <c r="V21" s="274">
        <f>ROUND(VLOOKUP(MID($E21,4,3),'Wochentag F(WT)'!$B$7:$J$22,V$9,0),4)</f>
        <v>0.98850000000000005</v>
      </c>
      <c r="W21" s="274">
        <f>ROUND(VLOOKUP(MID($E21,4,3),'Wochentag F(WT)'!$B$7:$J$22,W$9,0),4)</f>
        <v>0.88600000000000001</v>
      </c>
      <c r="X21" s="275">
        <f t="shared" si="2"/>
        <v>0.94349999999999934</v>
      </c>
      <c r="Y21" s="292"/>
      <c r="Z21" s="210"/>
    </row>
    <row r="22" spans="2:26" s="142" customFormat="1">
      <c r="B22" s="143">
        <v>11</v>
      </c>
      <c r="C22" s="144" t="str">
        <f t="shared" si="0"/>
        <v>Stadt Oranienburg</v>
      </c>
      <c r="D22" s="62" t="s">
        <v>247</v>
      </c>
      <c r="E22" s="165" t="s">
        <v>677</v>
      </c>
      <c r="F22" s="296" t="str">
        <f>VLOOKUP($E22,'BDEW-Standard'!$B$3:$M$158,F$9,0)</f>
        <v>MK4</v>
      </c>
      <c r="H22" s="273">
        <f>ROUND(VLOOKUP($E22,'BDEW-Standard'!$B$3:$M$158,H$9,0),7)</f>
        <v>3.1177248</v>
      </c>
      <c r="I22" s="273">
        <f>ROUND(VLOOKUP($E22,'BDEW-Standard'!$B$3:$M$158,I$9,0),7)</f>
        <v>-35.871506199999999</v>
      </c>
      <c r="J22" s="273">
        <f>ROUND(VLOOKUP($E22,'BDEW-Standard'!$B$3:$M$158,J$9,0),7)</f>
        <v>7.5186828999999999</v>
      </c>
      <c r="K22" s="273">
        <f>ROUND(VLOOKUP($E22,'BDEW-Standard'!$B$3:$M$158,K$9,0),7)</f>
        <v>3.4330100000000002E-2</v>
      </c>
      <c r="L22" s="336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7">
        <f t="shared" si="1"/>
        <v>0.9622064996731321</v>
      </c>
      <c r="R22" s="274">
        <f>ROUND(VLOOKUP(MID($E22,4,3),'Wochentag F(WT)'!$B$7:$J$22,R$9,0),4)</f>
        <v>1.0699000000000001</v>
      </c>
      <c r="S22" s="274">
        <f>ROUND(VLOOKUP(MID($E22,4,3),'Wochentag F(WT)'!$B$7:$J$22,S$9,0),4)</f>
        <v>1.0365</v>
      </c>
      <c r="T22" s="274">
        <f>ROUND(VLOOKUP(MID($E22,4,3),'Wochentag F(WT)'!$B$7:$J$22,T$9,0),4)</f>
        <v>0.99329999999999996</v>
      </c>
      <c r="U22" s="274">
        <f>ROUND(VLOOKUP(MID($E22,4,3),'Wochentag F(WT)'!$B$7:$J$22,U$9,0),4)</f>
        <v>0.99480000000000002</v>
      </c>
      <c r="V22" s="274">
        <f>ROUND(VLOOKUP(MID($E22,4,3),'Wochentag F(WT)'!$B$7:$J$22,V$9,0),4)</f>
        <v>1.0659000000000001</v>
      </c>
      <c r="W22" s="274">
        <f>ROUND(VLOOKUP(MID($E22,4,3),'Wochentag F(WT)'!$B$7:$J$22,W$9,0),4)</f>
        <v>0.93620000000000003</v>
      </c>
      <c r="X22" s="275">
        <f t="shared" si="2"/>
        <v>0.90339999999999954</v>
      </c>
      <c r="Y22" s="292"/>
      <c r="Z22" s="210"/>
    </row>
    <row r="23" spans="2:26" s="142" customFormat="1">
      <c r="B23" s="143">
        <v>12</v>
      </c>
      <c r="C23" s="144" t="str">
        <f t="shared" si="0"/>
        <v>Stadt Oranienburg</v>
      </c>
      <c r="D23" s="62" t="s">
        <v>247</v>
      </c>
      <c r="E23" s="165" t="s">
        <v>678</v>
      </c>
      <c r="F23" s="296" t="str">
        <f>VLOOKUP($E23,'BDEW-Standard'!$B$3:$M$158,F$9,0)</f>
        <v>PD4</v>
      </c>
      <c r="H23" s="273">
        <f>ROUND(VLOOKUP($E23,'BDEW-Standard'!$B$3:$M$158,H$9,0),7)</f>
        <v>3.85</v>
      </c>
      <c r="I23" s="273">
        <f>ROUND(VLOOKUP($E23,'BDEW-Standard'!$B$3:$M$158,I$9,0),7)</f>
        <v>-37</v>
      </c>
      <c r="J23" s="273">
        <f>ROUND(VLOOKUP($E23,'BDEW-Standard'!$B$3:$M$158,J$9,0),7)</f>
        <v>10.2405021</v>
      </c>
      <c r="K23" s="273">
        <f>ROUND(VLOOKUP($E23,'BDEW-Standard'!$B$3:$M$158,K$9,0),7)</f>
        <v>4.6924300000000002E-2</v>
      </c>
      <c r="L23" s="336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7">
        <f t="shared" si="1"/>
        <v>0.75691065279879233</v>
      </c>
      <c r="R23" s="274">
        <f>ROUND(VLOOKUP(MID($E23,4,3),'Wochentag F(WT)'!$B$7:$J$22,R$9,0),4)</f>
        <v>1.0214000000000001</v>
      </c>
      <c r="S23" s="274">
        <f>ROUND(VLOOKUP(MID($E23,4,3),'Wochentag F(WT)'!$B$7:$J$22,S$9,0),4)</f>
        <v>1.0866</v>
      </c>
      <c r="T23" s="274">
        <f>ROUND(VLOOKUP(MID($E23,4,3),'Wochentag F(WT)'!$B$7:$J$22,T$9,0),4)</f>
        <v>1.0720000000000001</v>
      </c>
      <c r="U23" s="274">
        <f>ROUND(VLOOKUP(MID($E23,4,3),'Wochentag F(WT)'!$B$7:$J$22,U$9,0),4)</f>
        <v>1.0557000000000001</v>
      </c>
      <c r="V23" s="274">
        <f>ROUND(VLOOKUP(MID($E23,4,3),'Wochentag F(WT)'!$B$7:$J$22,V$9,0),4)</f>
        <v>1.0117</v>
      </c>
      <c r="W23" s="274">
        <f>ROUND(VLOOKUP(MID($E23,4,3),'Wochentag F(WT)'!$B$7:$J$22,W$9,0),4)</f>
        <v>0.90010000000000001</v>
      </c>
      <c r="X23" s="275">
        <f t="shared" si="2"/>
        <v>0.85249999999999915</v>
      </c>
      <c r="Y23" s="292"/>
      <c r="Z23" s="210"/>
    </row>
    <row r="24" spans="2:26" s="142" customFormat="1">
      <c r="B24" s="143">
        <v>13</v>
      </c>
      <c r="C24" s="144" t="str">
        <f t="shared" si="0"/>
        <v>Stadt Oranienburg</v>
      </c>
      <c r="D24" s="62" t="s">
        <v>247</v>
      </c>
      <c r="E24" s="165" t="s">
        <v>679</v>
      </c>
      <c r="F24" s="296" t="str">
        <f>VLOOKUP($E24,'BDEW-Standard'!$B$3:$M$158,F$9,0)</f>
        <v>WA4</v>
      </c>
      <c r="H24" s="273">
        <f>ROUND(VLOOKUP($E24,'BDEW-Standard'!$B$3:$M$158,H$9,0),7)</f>
        <v>1.0535874999999999</v>
      </c>
      <c r="I24" s="273">
        <f>ROUND(VLOOKUP($E24,'BDEW-Standard'!$B$3:$M$158,I$9,0),7)</f>
        <v>-35.299999999999997</v>
      </c>
      <c r="J24" s="273">
        <f>ROUND(VLOOKUP($E24,'BDEW-Standard'!$B$3:$M$158,J$9,0),7)</f>
        <v>4.8662747</v>
      </c>
      <c r="K24" s="273">
        <f>ROUND(VLOOKUP($E24,'BDEW-Standard'!$B$3:$M$158,K$9,0),7)</f>
        <v>0.68110420000000005</v>
      </c>
      <c r="L24" s="336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7">
        <f t="shared" si="1"/>
        <v>1.0844348950990992</v>
      </c>
      <c r="R24" s="274">
        <f>ROUND(VLOOKUP(MID($E24,4,3),'Wochentag F(WT)'!$B$7:$J$22,R$9,0),4)</f>
        <v>1.2457</v>
      </c>
      <c r="S24" s="274">
        <f>ROUND(VLOOKUP(MID($E24,4,3),'Wochentag F(WT)'!$B$7:$J$22,S$9,0),4)</f>
        <v>1.2615000000000001</v>
      </c>
      <c r="T24" s="274">
        <f>ROUND(VLOOKUP(MID($E24,4,3),'Wochentag F(WT)'!$B$7:$J$22,T$9,0),4)</f>
        <v>1.2706999999999999</v>
      </c>
      <c r="U24" s="274">
        <f>ROUND(VLOOKUP(MID($E24,4,3),'Wochentag F(WT)'!$B$7:$J$22,U$9,0),4)</f>
        <v>1.2430000000000001</v>
      </c>
      <c r="V24" s="274">
        <f>ROUND(VLOOKUP(MID($E24,4,3),'Wochentag F(WT)'!$B$7:$J$22,V$9,0),4)</f>
        <v>1.1275999999999999</v>
      </c>
      <c r="W24" s="274">
        <f>ROUND(VLOOKUP(MID($E24,4,3),'Wochentag F(WT)'!$B$7:$J$22,W$9,0),4)</f>
        <v>0.38769999999999999</v>
      </c>
      <c r="X24" s="275">
        <f t="shared" si="2"/>
        <v>0.46379999999999999</v>
      </c>
      <c r="Y24" s="292"/>
      <c r="Z24" s="210"/>
    </row>
    <row r="25" spans="2:26" s="142" customFormat="1">
      <c r="B25" s="143">
        <v>14</v>
      </c>
      <c r="C25" s="144" t="str">
        <f t="shared" si="0"/>
        <v>Stadt Oranienburg</v>
      </c>
      <c r="D25" s="62" t="s">
        <v>247</v>
      </c>
      <c r="E25" s="165" t="s">
        <v>55</v>
      </c>
      <c r="F25" s="296" t="str">
        <f>VLOOKUP($E25,'BDEW-Standard'!$B$3:$M$158,F$9,0)</f>
        <v>R14</v>
      </c>
      <c r="H25" s="273">
        <f>ROUND(VLOOKUP($E25,'BDEW-Standard'!$B$3:$M$158,H$9,0),7)</f>
        <v>3.159294</v>
      </c>
      <c r="I25" s="273">
        <f>ROUND(VLOOKUP($E25,'BDEW-Standard'!$B$3:$M$158,I$9,0),7)</f>
        <v>-37.406886</v>
      </c>
      <c r="J25" s="273">
        <f>ROUND(VLOOKUP($E25,'BDEW-Standard'!$B$3:$M$158,J$9,0),7)</f>
        <v>6.1418926000000003</v>
      </c>
      <c r="K25" s="273">
        <f>ROUND(VLOOKUP($E25,'BDEW-Standard'!$B$3:$M$158,K$9,0),7)</f>
        <v>9.2266100000000004E-2</v>
      </c>
      <c r="L25" s="336">
        <f>ROUND(VLOOKUP($E25,'BDEW-Standard'!$B$3:$M$158,L$9,0),1)</f>
        <v>40</v>
      </c>
      <c r="M25" s="273">
        <f>ROUND(VLOOKUP($E25,'BDEW-Standard'!$B$3:$M$158,M$9,0),7)</f>
        <v>0</v>
      </c>
      <c r="N25" s="273">
        <f>ROUND(VLOOKUP($E25,'BDEW-Standard'!$B$3:$M$158,N$9,0),7)</f>
        <v>0</v>
      </c>
      <c r="O25" s="273">
        <f>ROUND(VLOOKUP($E25,'BDEW-Standard'!$B$3:$M$158,O$9,0),7)</f>
        <v>0</v>
      </c>
      <c r="P25" s="273">
        <f>ROUND(VLOOKUP($E25,'BDEW-Standard'!$B$3:$M$158,P$9,0),7)</f>
        <v>0</v>
      </c>
      <c r="Q25" s="337">
        <f t="shared" si="1"/>
        <v>0.96772350224521153</v>
      </c>
      <c r="R25" s="274">
        <f>ROUND(VLOOKUP(MID($E25,4,3),'Wochentag F(WT)'!$B$7:$J$22,R$9,0),4)</f>
        <v>1</v>
      </c>
      <c r="S25" s="274">
        <f>ROUND(VLOOKUP(MID($E25,4,3),'Wochentag F(WT)'!$B$7:$J$22,S$9,0),4)</f>
        <v>1</v>
      </c>
      <c r="T25" s="274">
        <f>ROUND(VLOOKUP(MID($E25,4,3),'Wochentag F(WT)'!$B$7:$J$22,T$9,0),4)</f>
        <v>1</v>
      </c>
      <c r="U25" s="274">
        <f>ROUND(VLOOKUP(MID($E25,4,3),'Wochentag F(WT)'!$B$7:$J$22,U$9,0),4)</f>
        <v>1</v>
      </c>
      <c r="V25" s="274">
        <f>ROUND(VLOOKUP(MID($E25,4,3),'Wochentag F(WT)'!$B$7:$J$22,V$9,0),4)</f>
        <v>1</v>
      </c>
      <c r="W25" s="274">
        <f>ROUND(VLOOKUP(MID($E25,4,3),'Wochentag F(WT)'!$B$7:$J$22,W$9,0),4)</f>
        <v>1</v>
      </c>
      <c r="X25" s="275">
        <f t="shared" si="2"/>
        <v>1</v>
      </c>
      <c r="Y25" s="292"/>
      <c r="Z25" s="210"/>
    </row>
    <row r="26" spans="2:26" s="142" customFormat="1">
      <c r="B26" s="143">
        <v>15</v>
      </c>
      <c r="C26" s="144" t="str">
        <f t="shared" si="0"/>
        <v>Stadt Oranienburg</v>
      </c>
      <c r="D26" s="62" t="s">
        <v>247</v>
      </c>
      <c r="E26" s="165" t="s">
        <v>65</v>
      </c>
      <c r="F26" s="296" t="str">
        <f>VLOOKUP($E26,'BDEW-Standard'!$B$3:$M$158,F$9,0)</f>
        <v>R24</v>
      </c>
      <c r="H26" s="273">
        <f>ROUND(VLOOKUP($E26,'BDEW-Standard'!$B$3:$M$158,H$9,0),7)</f>
        <v>2.4859160999999999</v>
      </c>
      <c r="I26" s="273">
        <f>ROUND(VLOOKUP($E26,'BDEW-Standard'!$B$3:$M$158,I$9,0),7)</f>
        <v>-35.043597800000001</v>
      </c>
      <c r="J26" s="273">
        <f>ROUND(VLOOKUP($E26,'BDEW-Standard'!$B$3:$M$158,J$9,0),7)</f>
        <v>6.2818214000000001</v>
      </c>
      <c r="K26" s="273">
        <f>ROUND(VLOOKUP($E26,'BDEW-Standard'!$B$3:$M$158,K$9,0),7)</f>
        <v>0.12839039999999999</v>
      </c>
      <c r="L26" s="336">
        <f>ROUND(VLOOKUP($E26,'BDEW-Standard'!$B$3:$M$158,L$9,0),1)</f>
        <v>40</v>
      </c>
      <c r="M26" s="273">
        <f>ROUND(VLOOKUP($E26,'BDEW-Standard'!$B$3:$M$158,M$9,0),7)</f>
        <v>0</v>
      </c>
      <c r="N26" s="273">
        <f>ROUND(VLOOKUP($E26,'BDEW-Standard'!$B$3:$M$158,N$9,0),7)</f>
        <v>0</v>
      </c>
      <c r="O26" s="273">
        <f>ROUND(VLOOKUP($E26,'BDEW-Standard'!$B$3:$M$158,O$9,0),7)</f>
        <v>0</v>
      </c>
      <c r="P26" s="273">
        <f>ROUND(VLOOKUP($E26,'BDEW-Standard'!$B$3:$M$158,P$9,0),7)</f>
        <v>0</v>
      </c>
      <c r="Q26" s="337">
        <f t="shared" si="1"/>
        <v>1.0259660127680663</v>
      </c>
      <c r="R26" s="274">
        <f>ROUND(VLOOKUP(MID($E26,4,3),'Wochentag F(WT)'!$B$7:$J$22,R$9,0),4)</f>
        <v>1</v>
      </c>
      <c r="S26" s="274">
        <f>ROUND(VLOOKUP(MID($E26,4,3),'Wochentag F(WT)'!$B$7:$J$22,S$9,0),4)</f>
        <v>1</v>
      </c>
      <c r="T26" s="274">
        <f>ROUND(VLOOKUP(MID($E26,4,3),'Wochentag F(WT)'!$B$7:$J$22,T$9,0),4)</f>
        <v>1</v>
      </c>
      <c r="U26" s="274">
        <f>ROUND(VLOOKUP(MID($E26,4,3),'Wochentag F(WT)'!$B$7:$J$22,U$9,0),4)</f>
        <v>1</v>
      </c>
      <c r="V26" s="274">
        <f>ROUND(VLOOKUP(MID($E26,4,3),'Wochentag F(WT)'!$B$7:$J$22,V$9,0),4)</f>
        <v>1</v>
      </c>
      <c r="W26" s="274">
        <f>ROUND(VLOOKUP(MID($E26,4,3),'Wochentag F(WT)'!$B$7:$J$22,W$9,0),4)</f>
        <v>1</v>
      </c>
      <c r="X26" s="275">
        <f t="shared" si="2"/>
        <v>1</v>
      </c>
      <c r="Y26" s="292"/>
      <c r="Z26" s="210"/>
    </row>
    <row r="27" spans="2:26" s="142" customFormat="1">
      <c r="B27" s="143">
        <v>16</v>
      </c>
      <c r="C27" s="144" t="str">
        <f t="shared" si="0"/>
        <v>Stadt Oranienburg</v>
      </c>
      <c r="D27" s="62"/>
      <c r="E27" s="165"/>
      <c r="F27" s="296"/>
      <c r="H27" s="276"/>
      <c r="I27" s="276"/>
      <c r="J27" s="276"/>
      <c r="K27" s="276"/>
      <c r="L27" s="336"/>
      <c r="M27" s="276"/>
      <c r="N27" s="276"/>
      <c r="O27" s="276"/>
      <c r="P27" s="276"/>
      <c r="Q27" s="338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Stadt Oranienburg</v>
      </c>
      <c r="D28" s="62"/>
      <c r="E28" s="165"/>
      <c r="F28" s="296"/>
      <c r="H28" s="276"/>
      <c r="I28" s="276"/>
      <c r="J28" s="276"/>
      <c r="K28" s="276"/>
      <c r="L28" s="336"/>
      <c r="M28" s="276"/>
      <c r="N28" s="276"/>
      <c r="O28" s="276"/>
      <c r="P28" s="276"/>
      <c r="Q28" s="338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Stadt Oranienburg</v>
      </c>
      <c r="D29" s="62"/>
      <c r="E29" s="165"/>
      <c r="F29" s="296"/>
      <c r="H29" s="276"/>
      <c r="I29" s="276"/>
      <c r="J29" s="276"/>
      <c r="K29" s="276"/>
      <c r="L29" s="336"/>
      <c r="M29" s="276"/>
      <c r="N29" s="276"/>
      <c r="O29" s="276"/>
      <c r="P29" s="276"/>
      <c r="Q29" s="338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Stadt Oranienburg</v>
      </c>
      <c r="D30" s="62"/>
      <c r="E30" s="165"/>
      <c r="F30" s="296"/>
      <c r="H30" s="276"/>
      <c r="I30" s="276"/>
      <c r="J30" s="276"/>
      <c r="K30" s="276"/>
      <c r="L30" s="336"/>
      <c r="M30" s="276"/>
      <c r="N30" s="276"/>
      <c r="O30" s="276"/>
      <c r="P30" s="276"/>
      <c r="Q30" s="338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Stadt Oranienburg</v>
      </c>
      <c r="D31" s="62"/>
      <c r="E31" s="165"/>
      <c r="F31" s="296"/>
      <c r="H31" s="276"/>
      <c r="I31" s="276"/>
      <c r="J31" s="276"/>
      <c r="K31" s="276"/>
      <c r="L31" s="336"/>
      <c r="M31" s="276"/>
      <c r="N31" s="276"/>
      <c r="O31" s="276"/>
      <c r="P31" s="276"/>
      <c r="Q31" s="338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Stadt Oranienburg</v>
      </c>
      <c r="D32" s="62"/>
      <c r="E32" s="165"/>
      <c r="F32" s="296"/>
      <c r="H32" s="276"/>
      <c r="I32" s="276"/>
      <c r="J32" s="276"/>
      <c r="K32" s="276"/>
      <c r="L32" s="336"/>
      <c r="M32" s="276"/>
      <c r="N32" s="276"/>
      <c r="O32" s="276"/>
      <c r="P32" s="276"/>
      <c r="Q32" s="338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Stadt Oranienburg</v>
      </c>
      <c r="D33" s="62"/>
      <c r="E33" s="165"/>
      <c r="F33" s="296"/>
      <c r="H33" s="276"/>
      <c r="I33" s="276"/>
      <c r="J33" s="276"/>
      <c r="K33" s="276"/>
      <c r="L33" s="336"/>
      <c r="M33" s="276"/>
      <c r="N33" s="276"/>
      <c r="O33" s="276"/>
      <c r="P33" s="276"/>
      <c r="Q33" s="338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Stadt Oranienburg</v>
      </c>
      <c r="D34" s="62"/>
      <c r="E34" s="165"/>
      <c r="F34" s="296"/>
      <c r="H34" s="276"/>
      <c r="I34" s="276"/>
      <c r="J34" s="276"/>
      <c r="K34" s="276"/>
      <c r="L34" s="336"/>
      <c r="M34" s="276"/>
      <c r="N34" s="276"/>
      <c r="O34" s="276"/>
      <c r="P34" s="276"/>
      <c r="Q34" s="338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Stadt Oranienburg</v>
      </c>
      <c r="D35" s="62"/>
      <c r="E35" s="165"/>
      <c r="F35" s="296"/>
      <c r="H35" s="276"/>
      <c r="I35" s="276"/>
      <c r="J35" s="276"/>
      <c r="K35" s="276"/>
      <c r="L35" s="336"/>
      <c r="M35" s="276"/>
      <c r="N35" s="276"/>
      <c r="O35" s="276"/>
      <c r="P35" s="276"/>
      <c r="Q35" s="338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Stadt Oranienburg</v>
      </c>
      <c r="D36" s="62"/>
      <c r="E36" s="165"/>
      <c r="F36" s="296"/>
      <c r="H36" s="276"/>
      <c r="I36" s="276"/>
      <c r="J36" s="276"/>
      <c r="K36" s="276"/>
      <c r="L36" s="336"/>
      <c r="M36" s="276"/>
      <c r="N36" s="276"/>
      <c r="O36" s="276"/>
      <c r="P36" s="276"/>
      <c r="Q36" s="338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Stadt Oranienburg</v>
      </c>
      <c r="D37" s="62"/>
      <c r="E37" s="165"/>
      <c r="F37" s="296"/>
      <c r="H37" s="276"/>
      <c r="I37" s="276"/>
      <c r="J37" s="276"/>
      <c r="K37" s="276"/>
      <c r="L37" s="336"/>
      <c r="M37" s="276"/>
      <c r="N37" s="276"/>
      <c r="O37" s="276"/>
      <c r="P37" s="276"/>
      <c r="Q37" s="338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Stadt Oranienburg</v>
      </c>
      <c r="D38" s="62"/>
      <c r="E38" s="165"/>
      <c r="F38" s="296"/>
      <c r="H38" s="276"/>
      <c r="I38" s="276"/>
      <c r="J38" s="276"/>
      <c r="K38" s="276"/>
      <c r="L38" s="336"/>
      <c r="M38" s="276"/>
      <c r="N38" s="276"/>
      <c r="O38" s="276"/>
      <c r="P38" s="276"/>
      <c r="Q38" s="338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Stadt Oranienburg</v>
      </c>
      <c r="D39" s="62"/>
      <c r="E39" s="165"/>
      <c r="F39" s="296"/>
      <c r="H39" s="276"/>
      <c r="I39" s="276"/>
      <c r="J39" s="276"/>
      <c r="K39" s="276"/>
      <c r="L39" s="336"/>
      <c r="M39" s="276"/>
      <c r="N39" s="276"/>
      <c r="O39" s="276"/>
      <c r="P39" s="276"/>
      <c r="Q39" s="338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Stadt Oranienburg</v>
      </c>
      <c r="D40" s="62"/>
      <c r="E40" s="165"/>
      <c r="F40" s="296"/>
      <c r="H40" s="276"/>
      <c r="I40" s="276"/>
      <c r="J40" s="276"/>
      <c r="K40" s="276"/>
      <c r="L40" s="336"/>
      <c r="M40" s="276"/>
      <c r="N40" s="276"/>
      <c r="O40" s="276"/>
      <c r="P40" s="276"/>
      <c r="Q40" s="338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Stadt Oranienburg</v>
      </c>
      <c r="D41" s="62"/>
      <c r="E41" s="165"/>
      <c r="F41" s="296"/>
      <c r="H41" s="276"/>
      <c r="I41" s="276"/>
      <c r="J41" s="276"/>
      <c r="K41" s="276"/>
      <c r="L41" s="336"/>
      <c r="M41" s="276"/>
      <c r="N41" s="276"/>
      <c r="O41" s="276"/>
      <c r="P41" s="276"/>
      <c r="Q41" s="338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26 F13:P13 G12:P12 F15:P26 F14:G14 I14:P1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M26" sqref="M26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446</v>
      </c>
    </row>
    <row r="3" spans="2:30" ht="15" customHeight="1">
      <c r="B3" s="84"/>
    </row>
    <row r="4" spans="2:30" ht="15" customHeight="1">
      <c r="B4" s="85" t="s">
        <v>445</v>
      </c>
      <c r="C4" s="63" t="str">
        <f>Netzbetreiber!$D$9</f>
        <v>Stadtwerke Oranienburg GmbH</v>
      </c>
      <c r="D4" s="76"/>
      <c r="G4" s="76"/>
      <c r="I4" s="76"/>
      <c r="J4" s="77"/>
      <c r="M4" s="86" t="s">
        <v>535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444</v>
      </c>
      <c r="C5" s="64" t="str">
        <f>Netzbetreiber!$D$28</f>
        <v>Stadt Oranienburg</v>
      </c>
      <c r="D5" s="37"/>
      <c r="E5" s="76"/>
      <c r="F5" s="76"/>
      <c r="G5" s="76"/>
      <c r="I5" s="76"/>
      <c r="J5" s="76"/>
      <c r="K5" s="76"/>
      <c r="L5" s="76"/>
      <c r="M5" s="88" t="s">
        <v>504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442</v>
      </c>
      <c r="C6" s="63" t="str">
        <f>Netzbetreiber!$D$11</f>
        <v>9870034800002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6" t="s">
        <v>458</v>
      </c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8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372</v>
      </c>
      <c r="O9" s="92" t="s">
        <v>373</v>
      </c>
      <c r="P9" s="92" t="s">
        <v>374</v>
      </c>
      <c r="Q9" s="92" t="s">
        <v>375</v>
      </c>
      <c r="R9" s="92" t="s">
        <v>376</v>
      </c>
      <c r="S9" s="92" t="s">
        <v>377</v>
      </c>
      <c r="T9" s="92" t="s">
        <v>378</v>
      </c>
      <c r="U9" s="92" t="s">
        <v>379</v>
      </c>
      <c r="V9" s="92" t="s">
        <v>380</v>
      </c>
      <c r="W9" s="92" t="s">
        <v>381</v>
      </c>
      <c r="X9" s="92" t="s">
        <v>382</v>
      </c>
      <c r="Y9" s="92" t="s">
        <v>383</v>
      </c>
      <c r="Z9" s="92" t="s">
        <v>384</v>
      </c>
      <c r="AA9" s="92" t="s">
        <v>385</v>
      </c>
      <c r="AB9" s="92" t="s">
        <v>386</v>
      </c>
      <c r="AC9" s="93" t="s">
        <v>387</v>
      </c>
      <c r="AD9" s="93" t="s">
        <v>427</v>
      </c>
    </row>
    <row r="10" spans="2:30" ht="72" customHeight="1" thickBot="1">
      <c r="B10" s="351" t="s">
        <v>579</v>
      </c>
      <c r="C10" s="352"/>
      <c r="D10" s="94">
        <v>2</v>
      </c>
      <c r="E10" s="95" t="str">
        <f>IF(ISERROR(HLOOKUP(E$11,$M$9:$AD$33,$D10,0)),"",HLOOKUP(E$11,$M$9:$AD$33,$D10,0))</f>
        <v/>
      </c>
      <c r="F10" s="349" t="s">
        <v>398</v>
      </c>
      <c r="G10" s="349"/>
      <c r="H10" s="349"/>
      <c r="I10" s="349"/>
      <c r="J10" s="349"/>
      <c r="K10" s="349"/>
      <c r="L10" s="350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428</v>
      </c>
    </row>
    <row r="11" spans="2:30" ht="15.75" thickBot="1">
      <c r="B11" s="102" t="s">
        <v>419</v>
      </c>
      <c r="C11" s="103"/>
      <c r="D11" s="104">
        <v>3</v>
      </c>
      <c r="E11" s="105"/>
      <c r="F11" s="106" t="s">
        <v>389</v>
      </c>
      <c r="G11" s="107" t="s">
        <v>390</v>
      </c>
      <c r="H11" s="107" t="s">
        <v>391</v>
      </c>
      <c r="I11" s="107" t="s">
        <v>392</v>
      </c>
      <c r="J11" s="107" t="s">
        <v>393</v>
      </c>
      <c r="K11" s="107" t="s">
        <v>394</v>
      </c>
      <c r="L11" s="108" t="s">
        <v>395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1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399</v>
      </c>
      <c r="C12" s="110"/>
      <c r="D12" s="111">
        <v>4</v>
      </c>
      <c r="E12" s="303">
        <f>MIN(SUMPRODUCT($M$11:$AD$11,M12:AD12),1)</f>
        <v>1</v>
      </c>
      <c r="F12" s="300" t="s">
        <v>395</v>
      </c>
      <c r="G12" s="78" t="s">
        <v>395</v>
      </c>
      <c r="H12" s="78" t="s">
        <v>395</v>
      </c>
      <c r="I12" s="78" t="s">
        <v>395</v>
      </c>
      <c r="J12" s="78" t="s">
        <v>395</v>
      </c>
      <c r="K12" s="78" t="s">
        <v>395</v>
      </c>
      <c r="L12" s="79" t="s">
        <v>395</v>
      </c>
      <c r="M12" s="339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400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395</v>
      </c>
      <c r="G13" s="80" t="s">
        <v>395</v>
      </c>
      <c r="H13" s="80" t="s">
        <v>395</v>
      </c>
      <c r="I13" s="80" t="s">
        <v>395</v>
      </c>
      <c r="J13" s="80" t="s">
        <v>395</v>
      </c>
      <c r="K13" s="80" t="s">
        <v>395</v>
      </c>
      <c r="L13" s="81" t="s">
        <v>395</v>
      </c>
      <c r="M13" s="339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401</v>
      </c>
      <c r="C14" s="116"/>
      <c r="D14" s="111">
        <v>6</v>
      </c>
      <c r="E14" s="304">
        <f t="shared" si="0"/>
        <v>0</v>
      </c>
      <c r="F14" s="301" t="s">
        <v>395</v>
      </c>
      <c r="G14" s="80" t="s">
        <v>402</v>
      </c>
      <c r="H14" s="80" t="s">
        <v>402</v>
      </c>
      <c r="I14" s="80" t="s">
        <v>402</v>
      </c>
      <c r="J14" s="80" t="s">
        <v>402</v>
      </c>
      <c r="K14" s="80" t="s">
        <v>402</v>
      </c>
      <c r="L14" s="81" t="s">
        <v>402</v>
      </c>
      <c r="M14" s="339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652</v>
      </c>
      <c r="C15" s="116"/>
      <c r="D15" s="111">
        <v>7</v>
      </c>
      <c r="E15" s="304">
        <f t="shared" si="0"/>
        <v>0</v>
      </c>
      <c r="F15" s="301" t="s">
        <v>402</v>
      </c>
      <c r="G15" s="80" t="s">
        <v>394</v>
      </c>
      <c r="H15" s="80" t="s">
        <v>402</v>
      </c>
      <c r="I15" s="80" t="s">
        <v>402</v>
      </c>
      <c r="J15" s="80" t="s">
        <v>402</v>
      </c>
      <c r="K15" s="80" t="s">
        <v>402</v>
      </c>
      <c r="L15" s="81" t="s">
        <v>402</v>
      </c>
      <c r="M15" s="339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414</v>
      </c>
      <c r="C16" s="116"/>
      <c r="D16" s="111">
        <v>8</v>
      </c>
      <c r="E16" s="304">
        <f t="shared" si="0"/>
        <v>1</v>
      </c>
      <c r="F16" s="301" t="s">
        <v>402</v>
      </c>
      <c r="G16" s="80" t="s">
        <v>402</v>
      </c>
      <c r="H16" s="80" t="s">
        <v>402</v>
      </c>
      <c r="I16" s="80" t="s">
        <v>402</v>
      </c>
      <c r="J16" s="80" t="s">
        <v>395</v>
      </c>
      <c r="K16" s="80" t="s">
        <v>402</v>
      </c>
      <c r="L16" s="81" t="s">
        <v>402</v>
      </c>
      <c r="M16" s="339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415</v>
      </c>
      <c r="C17" s="116"/>
      <c r="D17" s="111">
        <v>9</v>
      </c>
      <c r="E17" s="304">
        <f t="shared" si="0"/>
        <v>1</v>
      </c>
      <c r="F17" s="301" t="s">
        <v>402</v>
      </c>
      <c r="G17" s="80" t="s">
        <v>402</v>
      </c>
      <c r="H17" s="80" t="s">
        <v>402</v>
      </c>
      <c r="I17" s="80" t="s">
        <v>402</v>
      </c>
      <c r="J17" s="80" t="s">
        <v>402</v>
      </c>
      <c r="K17" s="80" t="s">
        <v>402</v>
      </c>
      <c r="L17" s="81" t="s">
        <v>395</v>
      </c>
      <c r="M17" s="339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416</v>
      </c>
      <c r="C18" s="116"/>
      <c r="D18" s="111">
        <v>10</v>
      </c>
      <c r="E18" s="304">
        <f t="shared" si="0"/>
        <v>1</v>
      </c>
      <c r="F18" s="301" t="s">
        <v>395</v>
      </c>
      <c r="G18" s="80" t="s">
        <v>402</v>
      </c>
      <c r="H18" s="80" t="s">
        <v>402</v>
      </c>
      <c r="I18" s="80" t="s">
        <v>402</v>
      </c>
      <c r="J18" s="80" t="s">
        <v>402</v>
      </c>
      <c r="K18" s="80" t="s">
        <v>402</v>
      </c>
      <c r="L18" s="81" t="s">
        <v>402</v>
      </c>
      <c r="M18" s="339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403</v>
      </c>
      <c r="C19" s="116"/>
      <c r="D19" s="111">
        <v>11</v>
      </c>
      <c r="E19" s="304">
        <f t="shared" si="0"/>
        <v>1</v>
      </c>
      <c r="F19" s="301" t="s">
        <v>395</v>
      </c>
      <c r="G19" s="80" t="s">
        <v>395</v>
      </c>
      <c r="H19" s="80" t="s">
        <v>395</v>
      </c>
      <c r="I19" s="80" t="s">
        <v>395</v>
      </c>
      <c r="J19" s="80" t="s">
        <v>395</v>
      </c>
      <c r="K19" s="80" t="s">
        <v>395</v>
      </c>
      <c r="L19" s="81" t="s">
        <v>395</v>
      </c>
      <c r="M19" s="339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645</v>
      </c>
      <c r="C20" s="116"/>
      <c r="D20" s="111">
        <v>12</v>
      </c>
      <c r="E20" s="304">
        <f t="shared" si="0"/>
        <v>1</v>
      </c>
      <c r="F20" s="301" t="s">
        <v>402</v>
      </c>
      <c r="G20" s="80" t="s">
        <v>402</v>
      </c>
      <c r="H20" s="80" t="s">
        <v>402</v>
      </c>
      <c r="I20" s="80" t="s">
        <v>395</v>
      </c>
      <c r="J20" s="80" t="s">
        <v>402</v>
      </c>
      <c r="K20" s="80" t="s">
        <v>402</v>
      </c>
      <c r="L20" s="81" t="s">
        <v>402</v>
      </c>
      <c r="M20" s="339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417</v>
      </c>
      <c r="C21" s="116"/>
      <c r="D21" s="111">
        <v>13</v>
      </c>
      <c r="E21" s="304">
        <f t="shared" si="0"/>
        <v>1</v>
      </c>
      <c r="F21" s="301" t="s">
        <v>402</v>
      </c>
      <c r="G21" s="80" t="s">
        <v>402</v>
      </c>
      <c r="H21" s="80" t="s">
        <v>402</v>
      </c>
      <c r="I21" s="80" t="s">
        <v>402</v>
      </c>
      <c r="J21" s="80" t="s">
        <v>402</v>
      </c>
      <c r="K21" s="80" t="s">
        <v>402</v>
      </c>
      <c r="L21" s="81" t="s">
        <v>395</v>
      </c>
      <c r="M21" s="339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418</v>
      </c>
      <c r="C22" s="116"/>
      <c r="D22" s="111">
        <v>14</v>
      </c>
      <c r="E22" s="304">
        <f t="shared" si="0"/>
        <v>1</v>
      </c>
      <c r="F22" s="301" t="s">
        <v>395</v>
      </c>
      <c r="G22" s="80" t="s">
        <v>402</v>
      </c>
      <c r="H22" s="80" t="s">
        <v>402</v>
      </c>
      <c r="I22" s="80" t="s">
        <v>402</v>
      </c>
      <c r="J22" s="80" t="s">
        <v>402</v>
      </c>
      <c r="K22" s="80" t="s">
        <v>402</v>
      </c>
      <c r="L22" s="81" t="s">
        <v>402</v>
      </c>
      <c r="M22" s="339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651</v>
      </c>
      <c r="C23" s="116"/>
      <c r="D23" s="111">
        <v>15</v>
      </c>
      <c r="E23" s="304">
        <f t="shared" si="0"/>
        <v>0</v>
      </c>
      <c r="F23" s="301" t="s">
        <v>402</v>
      </c>
      <c r="G23" s="80" t="s">
        <v>402</v>
      </c>
      <c r="H23" s="80" t="s">
        <v>402</v>
      </c>
      <c r="I23" s="80" t="s">
        <v>395</v>
      </c>
      <c r="J23" s="80" t="s">
        <v>402</v>
      </c>
      <c r="K23" s="80" t="s">
        <v>402</v>
      </c>
      <c r="L23" s="81" t="s">
        <v>402</v>
      </c>
      <c r="M23" s="339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404</v>
      </c>
      <c r="C24" s="116"/>
      <c r="D24" s="111">
        <v>16</v>
      </c>
      <c r="E24" s="304">
        <f t="shared" si="0"/>
        <v>0</v>
      </c>
      <c r="F24" s="301" t="s">
        <v>395</v>
      </c>
      <c r="G24" s="80" t="s">
        <v>395</v>
      </c>
      <c r="H24" s="80" t="s">
        <v>395</v>
      </c>
      <c r="I24" s="80" t="s">
        <v>395</v>
      </c>
      <c r="J24" s="80" t="s">
        <v>395</v>
      </c>
      <c r="K24" s="80" t="s">
        <v>395</v>
      </c>
      <c r="L24" s="81" t="s">
        <v>395</v>
      </c>
      <c r="M24" s="339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405</v>
      </c>
      <c r="C25" s="116"/>
      <c r="D25" s="111">
        <v>17</v>
      </c>
      <c r="E25" s="304">
        <f t="shared" si="0"/>
        <v>0</v>
      </c>
      <c r="F25" s="301" t="s">
        <v>395</v>
      </c>
      <c r="G25" s="80" t="s">
        <v>395</v>
      </c>
      <c r="H25" s="80" t="s">
        <v>395</v>
      </c>
      <c r="I25" s="80" t="s">
        <v>395</v>
      </c>
      <c r="J25" s="80" t="s">
        <v>395</v>
      </c>
      <c r="K25" s="80" t="s">
        <v>395</v>
      </c>
      <c r="L25" s="81" t="s">
        <v>395</v>
      </c>
      <c r="M25" s="339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406</v>
      </c>
      <c r="C26" s="116"/>
      <c r="D26" s="111">
        <v>18</v>
      </c>
      <c r="E26" s="304">
        <f t="shared" si="0"/>
        <v>1</v>
      </c>
      <c r="F26" s="301" t="s">
        <v>395</v>
      </c>
      <c r="G26" s="80" t="s">
        <v>395</v>
      </c>
      <c r="H26" s="80" t="s">
        <v>395</v>
      </c>
      <c r="I26" s="80" t="s">
        <v>395</v>
      </c>
      <c r="J26" s="80" t="s">
        <v>395</v>
      </c>
      <c r="K26" s="80" t="s">
        <v>395</v>
      </c>
      <c r="L26" s="81" t="s">
        <v>395</v>
      </c>
      <c r="M26" s="339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407</v>
      </c>
      <c r="C27" s="116"/>
      <c r="D27" s="111">
        <v>19</v>
      </c>
      <c r="E27" s="304">
        <f t="shared" si="0"/>
        <v>1</v>
      </c>
      <c r="F27" s="301" t="s">
        <v>395</v>
      </c>
      <c r="G27" s="80" t="s">
        <v>395</v>
      </c>
      <c r="H27" s="80" t="s">
        <v>395</v>
      </c>
      <c r="I27" s="80" t="s">
        <v>395</v>
      </c>
      <c r="J27" s="80" t="s">
        <v>395</v>
      </c>
      <c r="K27" s="80" t="s">
        <v>395</v>
      </c>
      <c r="L27" s="81" t="s">
        <v>395</v>
      </c>
      <c r="M27" s="339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408</v>
      </c>
      <c r="C28" s="116"/>
      <c r="D28" s="111">
        <v>20</v>
      </c>
      <c r="E28" s="304">
        <f t="shared" si="0"/>
        <v>0</v>
      </c>
      <c r="F28" s="301" t="s">
        <v>395</v>
      </c>
      <c r="G28" s="80" t="s">
        <v>395</v>
      </c>
      <c r="H28" s="80" t="s">
        <v>395</v>
      </c>
      <c r="I28" s="80" t="s">
        <v>395</v>
      </c>
      <c r="J28" s="80" t="s">
        <v>395</v>
      </c>
      <c r="K28" s="80" t="s">
        <v>395</v>
      </c>
      <c r="L28" s="81" t="s">
        <v>395</v>
      </c>
      <c r="M28" s="339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409</v>
      </c>
      <c r="C29" s="116"/>
      <c r="D29" s="111">
        <v>21</v>
      </c>
      <c r="E29" s="304">
        <f t="shared" si="0"/>
        <v>0</v>
      </c>
      <c r="F29" s="301" t="s">
        <v>402</v>
      </c>
      <c r="G29" s="80" t="s">
        <v>402</v>
      </c>
      <c r="H29" s="80" t="s">
        <v>395</v>
      </c>
      <c r="I29" s="80" t="s">
        <v>402</v>
      </c>
      <c r="J29" s="80" t="s">
        <v>402</v>
      </c>
      <c r="K29" s="80" t="s">
        <v>402</v>
      </c>
      <c r="L29" s="81" t="s">
        <v>402</v>
      </c>
      <c r="M29" s="339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410</v>
      </c>
      <c r="C30" s="116"/>
      <c r="D30" s="111">
        <v>22</v>
      </c>
      <c r="E30" s="304">
        <f t="shared" si="0"/>
        <v>0</v>
      </c>
      <c r="F30" s="301" t="s">
        <v>394</v>
      </c>
      <c r="G30" s="80" t="s">
        <v>394</v>
      </c>
      <c r="H30" s="80" t="s">
        <v>394</v>
      </c>
      <c r="I30" s="80" t="s">
        <v>394</v>
      </c>
      <c r="J30" s="80" t="s">
        <v>394</v>
      </c>
      <c r="K30" s="80" t="s">
        <v>394</v>
      </c>
      <c r="L30" s="81" t="s">
        <v>395</v>
      </c>
      <c r="M30" s="339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411</v>
      </c>
      <c r="C31" s="116"/>
      <c r="D31" s="111">
        <v>23</v>
      </c>
      <c r="E31" s="304">
        <f t="shared" si="0"/>
        <v>1</v>
      </c>
      <c r="F31" s="301" t="s">
        <v>395</v>
      </c>
      <c r="G31" s="80" t="s">
        <v>395</v>
      </c>
      <c r="H31" s="80" t="s">
        <v>395</v>
      </c>
      <c r="I31" s="80" t="s">
        <v>395</v>
      </c>
      <c r="J31" s="80" t="s">
        <v>395</v>
      </c>
      <c r="K31" s="80" t="s">
        <v>395</v>
      </c>
      <c r="L31" s="81" t="s">
        <v>395</v>
      </c>
      <c r="M31" s="339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412</v>
      </c>
      <c r="C32" s="116"/>
      <c r="D32" s="111">
        <v>24</v>
      </c>
      <c r="E32" s="304">
        <f t="shared" si="0"/>
        <v>1</v>
      </c>
      <c r="F32" s="301" t="s">
        <v>395</v>
      </c>
      <c r="G32" s="80" t="s">
        <v>395</v>
      </c>
      <c r="H32" s="80" t="s">
        <v>395</v>
      </c>
      <c r="I32" s="80" t="s">
        <v>395</v>
      </c>
      <c r="J32" s="80" t="s">
        <v>395</v>
      </c>
      <c r="K32" s="80" t="s">
        <v>395</v>
      </c>
      <c r="L32" s="81" t="s">
        <v>395</v>
      </c>
      <c r="M32" s="339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413</v>
      </c>
      <c r="C33" s="122"/>
      <c r="D33" s="123">
        <v>25</v>
      </c>
      <c r="E33" s="305">
        <f t="shared" si="0"/>
        <v>0</v>
      </c>
      <c r="F33" s="302" t="s">
        <v>394</v>
      </c>
      <c r="G33" s="82" t="s">
        <v>394</v>
      </c>
      <c r="H33" s="82" t="s">
        <v>394</v>
      </c>
      <c r="I33" s="82" t="s">
        <v>394</v>
      </c>
      <c r="J33" s="82" t="s">
        <v>394</v>
      </c>
      <c r="K33" s="82" t="s">
        <v>394</v>
      </c>
      <c r="L33" s="83" t="s">
        <v>395</v>
      </c>
      <c r="M33" s="340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82" zoomScale="80" zoomScaleNormal="80" workbookViewId="0">
      <selection activeCell="A98" sqref="A2:XFD98"/>
    </sheetView>
  </sheetViews>
  <sheetFormatPr baseColWidth="10" defaultColWidth="11.42578125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347</v>
      </c>
      <c r="B1" s="212">
        <v>42173</v>
      </c>
      <c r="D1" s="130" t="s">
        <v>454</v>
      </c>
      <c r="F1" s="213" t="s">
        <v>541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3" t="s">
        <v>648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2578125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455</v>
      </c>
      <c r="B1" s="127"/>
      <c r="D1" s="213" t="s">
        <v>541</v>
      </c>
    </row>
    <row r="2" spans="1:16">
      <c r="A2" s="233"/>
      <c r="B2" s="232" t="s">
        <v>456</v>
      </c>
    </row>
    <row r="3" spans="1:16" ht="20.100000000000001" customHeight="1">
      <c r="A3" s="353" t="s">
        <v>248</v>
      </c>
      <c r="B3" s="234" t="s">
        <v>86</v>
      </c>
      <c r="C3" s="235"/>
      <c r="D3" s="355" t="s">
        <v>457</v>
      </c>
      <c r="E3" s="356"/>
      <c r="F3" s="356"/>
      <c r="G3" s="356"/>
      <c r="H3" s="356"/>
      <c r="I3" s="356"/>
      <c r="J3" s="357"/>
      <c r="K3" s="236"/>
      <c r="L3" s="236"/>
      <c r="M3" s="236"/>
      <c r="N3" s="236"/>
      <c r="O3" s="237"/>
      <c r="P3" s="236"/>
    </row>
    <row r="4" spans="1:16" ht="20.100000000000001" customHeight="1">
      <c r="A4" s="354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368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368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Daniel</cp:lastModifiedBy>
  <cp:lastPrinted>2015-03-20T22:59:10Z</cp:lastPrinted>
  <dcterms:created xsi:type="dcterms:W3CDTF">2015-01-15T05:25:41Z</dcterms:created>
  <dcterms:modified xsi:type="dcterms:W3CDTF">2016-02-17T14:02:15Z</dcterms:modified>
</cp:coreProperties>
</file>